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50" tabRatio="797" activeTab="1"/>
  </bookViews>
  <sheets>
    <sheet name="0." sheetId="1" r:id="rId1"/>
    <sheet name="1. pre works" sheetId="2" r:id="rId2"/>
    <sheet name="2. earthworks" sheetId="3" r:id="rId3"/>
    <sheet name="3. timbering, metal" sheetId="4" r:id="rId4"/>
    <sheet name="4. drain, backfill" sheetId="5" r:id="rId5"/>
    <sheet name="5. flat foundation" sheetId="6" r:id="rId6"/>
    <sheet name="6. dewatering" sheetId="7" r:id="rId7"/>
    <sheet name="7. deep foundation" sheetId="8" r:id="rId8"/>
    <sheet name="8. in situ concrete pre works" sheetId="9" r:id="rId9"/>
    <sheet name="9. in situ concrete concreting" sheetId="10" r:id="rId10"/>
    <sheet name="10. prefabricated" sheetId="11" r:id="rId11"/>
    <sheet name="11. masonry labour" sheetId="12" r:id="rId12"/>
    <sheet name="12. masonry material" sheetId="13" state="hidden" r:id="rId13"/>
    <sheet name="13. assembly and other masonry" sheetId="14" r:id="rId14"/>
    <sheet name="14. water proof" sheetId="15" r:id="rId15"/>
    <sheet name="15. heat and noise ins" sheetId="16" r:id="rId16"/>
    <sheet name="16. roof structures" sheetId="17" r:id="rId17"/>
    <sheet name="19. formwork" sheetId="18" state="hidden" r:id="rId18"/>
    <sheet name="17. shuttering" sheetId="19" r:id="rId19"/>
    <sheet name="18. scaffolding" sheetId="20" r:id="rId20"/>
    <sheet name="20. plastering" sheetId="21" r:id="rId21"/>
    <sheet name="21. tiling and covering" sheetId="22" r:id="rId22"/>
    <sheet name="22. tinsmith" sheetId="23" r:id="rId23"/>
    <sheet name="23. glazing" sheetId="24" r:id="rId24"/>
    <sheet name="24. joinery and carpentry" sheetId="25" r:id="rId25"/>
    <sheet name="25. fitting smith" sheetId="26" r:id="rId26"/>
    <sheet name="26. dec and coating" sheetId="27" r:id="rId27"/>
    <sheet name="27. building service" sheetId="28" r:id="rId28"/>
    <sheet name="Munka1" sheetId="29" state="hidden" r:id="rId29"/>
  </sheets>
  <definedNames/>
  <calcPr fullCalcOnLoad="1"/>
</workbook>
</file>

<file path=xl/sharedStrings.xml><?xml version="1.0" encoding="utf-8"?>
<sst xmlns="http://schemas.openxmlformats.org/spreadsheetml/2006/main" count="3691" uniqueCount="1649">
  <si>
    <t>Clear-felling, plantation and gardening works</t>
  </si>
  <si>
    <t>Activity</t>
  </si>
  <si>
    <t>Unit</t>
  </si>
  <si>
    <t>Time-standard </t>
  </si>
  <si>
    <t>(hour)</t>
  </si>
  <si>
    <t>Skill</t>
  </si>
  <si>
    <t>Felling, power saw, trunk diameter10-50 cm</t>
  </si>
  <si>
    <t>pcs</t>
  </si>
  <si>
    <t>0.7</t>
  </si>
  <si>
    <t>labourer</t>
  </si>
  <si>
    <t>Felling, power saw, trunk diameter above 51 cm</t>
  </si>
  <si>
    <t>0.94</t>
  </si>
  <si>
    <t>Goubbing, ditch refilling, equipped, trunk diameter 10-50 cm</t>
  </si>
  <si>
    <t>0.95</t>
  </si>
  <si>
    <t>Goubbing, ditch refilling, equipped, trunk diameter above 51 cm</t>
  </si>
  <si>
    <t>Brush cutting, manually, trunk diameter below 10 cm</t>
  </si>
  <si>
    <t>Grassing, flat or slope area, manually</t>
  </si>
  <si>
    <t>0.4</t>
  </si>
  <si>
    <t>Grass cutting, mower, below 4 cm</t>
  </si>
  <si>
    <t>0.52</t>
  </si>
  <si>
    <t>Earthworks</t>
  </si>
  <si>
    <t>Soil consistency</t>
  </si>
  <si>
    <t>I-II.</t>
  </si>
  <si>
    <t>III.</t>
  </si>
  <si>
    <t>IV.</t>
  </si>
  <si>
    <t>V.</t>
  </si>
  <si>
    <t>Time-standard (hour)</t>
  </si>
  <si>
    <t>Topsoil excavation, depth less than 10 cm, </t>
  </si>
  <si>
    <t>(and for each 10 cms on)</t>
  </si>
  <si>
    <t>0.79</t>
  </si>
  <si>
    <t>-</t>
  </si>
  <si>
    <t>Excavation, from trench without timbering, depth less than 1,5 m </t>
  </si>
  <si>
    <t>vertical or sloped earthwall</t>
  </si>
  <si>
    <t>1.71</t>
  </si>
  <si>
    <t>2.76</t>
  </si>
  <si>
    <t>3.98</t>
  </si>
  <si>
    <t>Excavation, from ditch without timbering</t>
  </si>
  <si>
    <t>1.46</t>
  </si>
  <si>
    <t>2.49</t>
  </si>
  <si>
    <t>3.76</t>
  </si>
  <si>
    <t>4.64</t>
  </si>
  <si>
    <t>Excavation, from trench with timbered vertical earthwall</t>
  </si>
  <si>
    <t>1.47</t>
  </si>
  <si>
    <t>2.67</t>
  </si>
  <si>
    <t>4.79</t>
  </si>
  <si>
    <t>Excavation, from ditch with timbered vertical earthwall</t>
  </si>
  <si>
    <t>2.66</t>
  </si>
  <si>
    <t>4.87</t>
  </si>
  <si>
    <t>Refill and spread in trench</t>
  </si>
  <si>
    <t>0.61</t>
  </si>
  <si>
    <t>0.85</t>
  </si>
  <si>
    <t>Refinery earthwork after rough excavation by equipment, depth 10-20 cm</t>
  </si>
  <si>
    <t>3.81</t>
  </si>
  <si>
    <t>5.58</t>
  </si>
  <si>
    <t>Levelling the ground, without compacting, depth below 10 cm</t>
  </si>
  <si>
    <t>0.50</t>
  </si>
  <si>
    <t>0.72</t>
  </si>
  <si>
    <t>0.97</t>
  </si>
  <si>
    <t>Levelling the ground, without compacting, depth 10-20 cm</t>
  </si>
  <si>
    <t>0.96</t>
  </si>
  <si>
    <t>1.35</t>
  </si>
  <si>
    <t>1.81</t>
  </si>
  <si>
    <t>Sloping in a hollow or on embankment, mean thickness 10 cm</t>
  </si>
  <si>
    <t>1.43</t>
  </si>
  <si>
    <t>Sloping in a hollow or on embankment, mean thickness 10-15 cm</t>
  </si>
  <si>
    <t>0.92</t>
  </si>
  <si>
    <t>1.32</t>
  </si>
  <si>
    <t>Subgrading, excavated earth deposited, depth below 10 cm </t>
  </si>
  <si>
    <t>1.54</t>
  </si>
  <si>
    <t>Loading earth or building rubbish to truck, </t>
  </si>
  <si>
    <t>or moving it within an arm reach distance</t>
  </si>
  <si>
    <t>0.73</t>
  </si>
  <si>
    <t>Spreading earth or building rubbish, mean depth below 20 cm,  </t>
  </si>
  <si>
    <t>after rough spreading by equipment</t>
  </si>
  <si>
    <t>0.17</t>
  </si>
  <si>
    <t>0.25</t>
  </si>
  <si>
    <t>0.33</t>
  </si>
  <si>
    <t>Timbering, metal sheetwalls</t>
  </si>
  <si>
    <t>Live-labour</t>
  </si>
  <si>
    <t>Material</t>
  </si>
  <si>
    <t>Building</t>
  </si>
  <si>
    <t>Removing</t>
  </si>
  <si>
    <t>Relocating</t>
  </si>
  <si>
    <t>Uses</t>
  </si>
  <si>
    <t>Product</t>
  </si>
  <si>
    <t>First built</t>
  </si>
  <si>
    <t>Rebuilt</t>
  </si>
  <si>
    <t>both sides </t>
  </si>
  <si>
    <t>close horizontal planking </t>
  </si>
  <si>
    <t>s.c.: I-IV</t>
  </si>
  <si>
    <t>0.05 </t>
  </si>
  <si>
    <t>0.04 </t>
  </si>
  <si>
    <t>0.08</t>
  </si>
  <si>
    <t>0.08 </t>
  </si>
  <si>
    <t>0.31</t>
  </si>
  <si>
    <t>carpenter </t>
  </si>
  <si>
    <t>plank </t>
  </si>
  <si>
    <t>log</t>
  </si>
  <si>
    <t>open horizontal planking </t>
  </si>
  <si>
    <t>s.c.: III-IV</t>
  </si>
  <si>
    <t>0.03 </t>
  </si>
  <si>
    <t>0.06</t>
  </si>
  <si>
    <t>0.07 </t>
  </si>
  <si>
    <t>0.32</t>
  </si>
  <si>
    <t>close vertical planking </t>
  </si>
  <si>
    <t>0.06 </t>
  </si>
  <si>
    <t>0.12</t>
  </si>
  <si>
    <t>0.12 </t>
  </si>
  <si>
    <t>0.42</t>
  </si>
  <si>
    <t>lumber </t>
  </si>
  <si>
    <t>open vertical planking </t>
  </si>
  <si>
    <t>0.2</t>
  </si>
  <si>
    <t>0.3</t>
  </si>
  <si>
    <t>single side </t>
  </si>
  <si>
    <t>s.c.: I-IV </t>
  </si>
  <si>
    <t>with stays or anchoring</t>
  </si>
  <si>
    <t>0.18 </t>
  </si>
  <si>
    <t>0.53</t>
  </si>
  <si>
    <t>0.11 </t>
  </si>
  <si>
    <t>0.22</t>
  </si>
  <si>
    <t>s.c.: III-IV </t>
  </si>
  <si>
    <t>0.09 </t>
  </si>
  <si>
    <t>0.18</t>
  </si>
  <si>
    <t>0.33 </t>
  </si>
  <si>
    <t>0.88</t>
  </si>
  <si>
    <t>0.26 </t>
  </si>
  <si>
    <t>0.69</t>
  </si>
  <si>
    <t>(four sides)</t>
  </si>
  <si>
    <t>0.2 </t>
  </si>
  <si>
    <t>0.35</t>
  </si>
  <si>
    <t>0.15</t>
  </si>
  <si>
    <t>vertical plank coverage  </t>
  </si>
  <si>
    <t>removal by pulleyblock</t>
  </si>
  <si>
    <t>0.34 </t>
  </si>
  <si>
    <t>0.80</t>
  </si>
  <si>
    <t>0.29 </t>
  </si>
  <si>
    <t>0.58</t>
  </si>
  <si>
    <t>steel plank </t>
  </si>
  <si>
    <t>Sheetwall piling, </t>
  </si>
  <si>
    <t>average soil conditions</t>
  </si>
  <si>
    <t>8 men/equip</t>
  </si>
  <si>
    <t>steel plank. </t>
  </si>
  <si>
    <t>lumber</t>
  </si>
  <si>
    <t>Drainage, filtration layer and backfill construction</t>
  </si>
  <si>
    <t>Labour</t>
  </si>
  <si>
    <t>Time-standard</t>
  </si>
  <si>
    <t>Quantity</t>
  </si>
  <si>
    <t>Drain-pipe laying, on bedding, in trench</t>
  </si>
  <si>
    <t>lm</t>
  </si>
  <si>
    <t>0.16</t>
  </si>
  <si>
    <t>3.1 pcs </t>
  </si>
  <si>
    <t>or 2.04 pcs</t>
  </si>
  <si>
    <t>terracotta pipe or </t>
  </si>
  <si>
    <t>enamelled clay-tube</t>
  </si>
  <si>
    <t>Collector and drain-system laying </t>
  </si>
  <si>
    <t>on bedding, in trench, attached </t>
  </si>
  <si>
    <t>(diameter 10-15-20 cm)</t>
  </si>
  <si>
    <t>m</t>
  </si>
  <si>
    <t>1.015 m</t>
  </si>
  <si>
    <t>concrete pipe  </t>
  </si>
  <si>
    <t>(cement duct) </t>
  </si>
  <si>
    <t>tube with base  </t>
  </si>
  <si>
    <t>or socket</t>
  </si>
  <si>
    <t>Bedding bottom-drain or bottom-channel</t>
  </si>
  <si>
    <t>screened gravel</t>
  </si>
  <si>
    <t>Covering bottom-drain or bottom-channel</t>
  </si>
  <si>
    <t>0.07</t>
  </si>
  <si>
    <t>5 pcs</t>
  </si>
  <si>
    <t>partition brick</t>
  </si>
  <si>
    <t>Building stratified filter (drain) mass</t>
  </si>
  <si>
    <t>2.57</t>
  </si>
  <si>
    <t>screened gravel  </t>
  </si>
  <si>
    <t>(or sand, or riprap)</t>
  </si>
  <si>
    <t>Sealing drain or channel  </t>
  </si>
  <si>
    <t>(barrier construction)</t>
  </si>
  <si>
    <t>mine-clay, bitumen or cement </t>
  </si>
  <si>
    <t>and soil</t>
  </si>
  <si>
    <t>Spreading drain-blanket (layer)  </t>
  </si>
  <si>
    <t>on ready-made grade</t>
  </si>
  <si>
    <t>1.83</t>
  </si>
  <si>
    <t>gravel  </t>
  </si>
  <si>
    <t>(sand, grail)</t>
  </si>
  <si>
    <t>Building temporary drain system </t>
  </si>
  <si>
    <t>on bedding or in trench, attached</t>
  </si>
  <si>
    <t>16.7 pcs</t>
  </si>
  <si>
    <t>stock brick</t>
  </si>
  <si>
    <t>5.4 pcs </t>
  </si>
  <si>
    <t>crest tile </t>
  </si>
  <si>
    <t>of faggot</t>
  </si>
  <si>
    <t>Backfill construction </t>
  </si>
  <si>
    <t>maximun slope: 1:3 </t>
  </si>
  <si>
    <t>spread by equipment (e.g. grader)</t>
  </si>
  <si>
    <t>0.1</t>
  </si>
  <si>
    <t>gravel</t>
  </si>
  <si>
    <t>Dewatering</t>
  </si>
  <si>
    <t>Laying pipes for top (open) draining </t>
  </si>
  <si>
    <t>including bedding (x)</t>
  </si>
  <si>
    <t>0.65</t>
  </si>
  <si>
    <t>31.1 pcs</t>
  </si>
  <si>
    <t>terracotta pipe </t>
  </si>
  <si>
    <t>Constructing top (open) draining sump </t>
  </si>
  <si>
    <t>off shaft rings, bottomed</t>
  </si>
  <si>
    <t>4.0</t>
  </si>
  <si>
    <t>0.8</t>
  </si>
  <si>
    <t>1.353 pcs </t>
  </si>
  <si>
    <t>80/75 shaft ring </t>
  </si>
  <si>
    <t>concrete</t>
  </si>
  <si>
    <t>Constructing vacuum-well </t>
  </si>
  <si>
    <t>not deeper than 7.5 m </t>
  </si>
  <si>
    <t>0.6-2.4 m distances, in loose soil (x)</t>
  </si>
  <si>
    <t>0.5 </t>
  </si>
  <si>
    <t>0.1 </t>
  </si>
  <si>
    <t>driller </t>
  </si>
  <si>
    <t>1.02 m/lm </t>
  </si>
  <si>
    <t>1 pc</t>
  </si>
  <si>
    <t>perfect well</t>
  </si>
  <si>
    <t>0.6-2.4 m distances, in heavy soil (x)</t>
  </si>
  <si>
    <t>0.6 </t>
  </si>
  <si>
    <t>0.36</t>
  </si>
  <si>
    <t>Constructing point-well  </t>
  </si>
  <si>
    <t>not deeper than 12 m (x)</t>
  </si>
  <si>
    <t>(approx. 2.0 m distances, NPS 300-400)</t>
  </si>
  <si>
    <t>6.5 </t>
  </si>
  <si>
    <t>1.3 </t>
  </si>
  <si>
    <t>1.02 m/lm</t>
  </si>
  <si>
    <t>sleeve pipe NPS 200-300</t>
  </si>
  <si>
    <t>Fitting collector- or force-pipe for</t>
  </si>
  <si>
    <t>vacuum-well or point-well dewatering</t>
  </si>
  <si>
    <t>0.3 </t>
  </si>
  <si>
    <t>0.6</t>
  </si>
  <si>
    <t>plumber</t>
  </si>
  <si>
    <t>1.02 m</t>
  </si>
  <si>
    <t>Flat foundation</t>
  </si>
  <si>
    <t>Qunatity</t>
  </si>
  <si>
    <t>Blinding, thickness below 10 cm</t>
  </si>
  <si>
    <t>4.43</t>
  </si>
  <si>
    <t>Concreting plain concrete or RC strip foundation,  </t>
  </si>
  <si>
    <t>footings, slab- (mat-) or beam-grid fundation </t>
  </si>
  <si>
    <t>including compacting</t>
  </si>
  <si>
    <t>applying concrete pump</t>
  </si>
  <si>
    <t>Concrete filling in sleeve foundation</t>
  </si>
  <si>
    <t>9.82</t>
  </si>
  <si>
    <t>Gravel fill, spreaded in layers of width 20-50 cm </t>
  </si>
  <si>
    <t>including compacting, in grade</t>
  </si>
  <si>
    <t>0.29</t>
  </si>
  <si>
    <t>Gravel bed spreaded in grade, </t>
  </si>
  <si>
    <t>thinckness range 10-20 cm</t>
  </si>
  <si>
    <t>Recovering gravel bed</t>
  </si>
  <si>
    <t>0.5</t>
  </si>
  <si>
    <t>Preparing, adjusting and lowering RC piles</t>
  </si>
  <si>
    <t>5-6 workers/equipment</t>
  </si>
  <si>
    <t>3 m/hour</t>
  </si>
  <si>
    <t>RC pile</t>
  </si>
  <si>
    <t>Bored RC piling</t>
  </si>
  <si>
    <t>4-5 workers/equipment</t>
  </si>
  <si>
    <t>0,5 m/hour</t>
  </si>
  <si>
    <t>x </t>
  </si>
  <si>
    <t>xxx </t>
  </si>
  <si>
    <t>0.034 m</t>
  </si>
  <si>
    <t>reinforcement</t>
  </si>
  <si>
    <t>guide pipe</t>
  </si>
  <si>
    <t>SOIL-MEC bored piling</t>
  </si>
  <si>
    <t>6-8 workers/equipment</t>
  </si>
  <si>
    <t>4 m/hour</t>
  </si>
  <si>
    <t>1.15 m</t>
  </si>
  <si>
    <t>slurry </t>
  </si>
  <si>
    <t>sleeve pipe</t>
  </si>
  <si>
    <t>Franki-system piling</t>
  </si>
  <si>
    <t>2 m/hour</t>
  </si>
  <si>
    <t>Sheet-wall piling  </t>
  </si>
  <si>
    <t>(excavation, slurry, reinforcement, concreting)</t>
  </si>
  <si>
    <t>12 workers/equipment</t>
  </si>
  <si>
    <t>xx </t>
  </si>
  <si>
    <t>xxx</t>
  </si>
  <si>
    <t>Chiselling-off pile cap or leader beam </t>
  </si>
  <si>
    <t>air compressor + plugger (air-hammer)</t>
  </si>
  <si>
    <t>15 hours/plugger</t>
  </si>
  <si>
    <t>In-situ plain concrete and RC structures</t>
  </si>
  <si>
    <t>(preliminary and posteriory works)</t>
  </si>
  <si>
    <t>Mixing concrete or mortar,  </t>
  </si>
  <si>
    <t>drum-mixer feeded manually</t>
  </si>
  <si>
    <t>x</t>
  </si>
  <si>
    <t>Mixing concrete,  </t>
  </si>
  <si>
    <t>drum mixer and power feeder</t>
  </si>
  <si>
    <t>0.38</t>
  </si>
  <si>
    <t>Mixing mortar, power mixer</t>
  </si>
  <si>
    <t>0.67</t>
  </si>
  <si>
    <t>Processing reinforcing steel  </t>
  </si>
  <si>
    <t>at central steel plant </t>
  </si>
  <si>
    <t>(straightening, cutting, bending)</t>
  </si>
  <si>
    <t>t</t>
  </si>
  <si>
    <t>9.6 </t>
  </si>
  <si>
    <t>steel fixer </t>
  </si>
  <si>
    <t>reinforcing steel</t>
  </si>
  <si>
    <t>Fixing reinforcement on site</t>
  </si>
  <si>
    <t>14.2 </t>
  </si>
  <si>
    <t>Processing reinforcing steel and </t>
  </si>
  <si>
    <t>fixing reinforcement on site </t>
  </si>
  <si>
    <t>(straightening, cutting, bending, fixing)</t>
  </si>
  <si>
    <t>25.6 </t>
  </si>
  <si>
    <t>Fixing weld steel-mesh  </t>
  </si>
  <si>
    <t>(manufactured) reinforcement</t>
  </si>
  <si>
    <t>12.3 </t>
  </si>
  <si>
    <t>weld settel-mesh </t>
  </si>
  <si>
    <t>Preparing contraction joint, power saw,  </t>
  </si>
  <si>
    <t>bitumen joint-sealing</t>
  </si>
  <si>
    <t>0.02 t</t>
  </si>
  <si>
    <t>rubberized asphalt</t>
  </si>
  <si>
    <t>Preparing expansion joint, power saw,  </t>
  </si>
  <si>
    <t>0.24</t>
  </si>
  <si>
    <t>0.02 t </t>
  </si>
  <si>
    <t>0.0124 t</t>
  </si>
  <si>
    <t>rubberized asphalt </t>
  </si>
  <si>
    <t>bitumen </t>
  </si>
  <si>
    <t>120 bitumen felt</t>
  </si>
  <si>
    <t>(concreting)</t>
  </si>
  <si>
    <t>Manual</t>
  </si>
  <si>
    <t>conveyor </t>
  </si>
  <si>
    <t>belt, below  </t>
  </si>
  <si>
    <t>6 m height</t>
  </si>
  <si>
    <t>mixer</t>
  </si>
  <si>
    <t>truck</t>
  </si>
  <si>
    <t>crane +  </t>
  </si>
  <si>
    <t>concrete </t>
  </si>
  <si>
    <t>bucket</t>
  </si>
  <si>
    <t>elevator, </t>
  </si>
  <si>
    <t>above  </t>
  </si>
  <si>
    <t>pump</t>
  </si>
  <si>
    <t>Concreting vertical  </t>
  </si>
  <si>
    <t>structures (walls, piers, etc.)</t>
  </si>
  <si>
    <t>5.42</t>
  </si>
  <si>
    <t>2.83</t>
  </si>
  <si>
    <t>derived </t>
  </si>
  <si>
    <t>from </t>
  </si>
  <si>
    <t>output  </t>
  </si>
  <si>
    <t>of pump</t>
  </si>
  <si>
    <t>lab.</t>
  </si>
  <si>
    <t>Concreting slabs,  </t>
  </si>
  <si>
    <t>floor structures</t>
  </si>
  <si>
    <t>3.84</t>
  </si>
  <si>
    <t>5.62</t>
  </si>
  <si>
    <t>3.0</t>
  </si>
  <si>
    <t>4.65</t>
  </si>
  <si>
    <t>Concreting beams,  </t>
  </si>
  <si>
    <t>ring-beams, stairs  </t>
  </si>
  <si>
    <t>and other structures</t>
  </si>
  <si>
    <t>2.94</t>
  </si>
  <si>
    <t>4.33</t>
  </si>
  <si>
    <t>Concreting subbase or  </t>
  </si>
  <si>
    <t>protective layer</t>
  </si>
  <si>
    <t>protective layers processed, </t>
  </si>
  <si>
    <t>compacted and floated by </t>
  </si>
  <si>
    <t>power tools and equipment</t>
  </si>
  <si>
    <t>Concrete subbase layer  </t>
  </si>
  <si>
    <t>below sealing</t>
  </si>
  <si>
    <t>5.69</t>
  </si>
  <si>
    <t>Lifting and placing prefabricated</t>
  </si>
  <si>
    <t>plain concrete and RC structures</t>
  </si>
  <si>
    <t>Weight of structural element (unit)</t>
  </si>
  <si>
    <t>0.5 t</t>
  </si>
  <si>
    <t>2 t</t>
  </si>
  <si>
    <t>5 t</t>
  </si>
  <si>
    <t>10 t</t>
  </si>
  <si>
    <t>20 t</t>
  </si>
  <si>
    <t>40 t</t>
  </si>
  <si>
    <t>Placing front panel, hung by  </t>
  </si>
  <si>
    <t>crane, fixing welded or bolted</t>
  </si>
  <si>
    <t>piece</t>
  </si>
  <si>
    <t>(unit)</t>
  </si>
  <si>
    <t>0.75</t>
  </si>
  <si>
    <t>0.99</t>
  </si>
  <si>
    <t>welder </t>
  </si>
  <si>
    <t>prefabr.struct.</t>
  </si>
  <si>
    <t>element (unit)</t>
  </si>
  <si>
    <t>Placing (sleeve) foundation </t>
  </si>
  <si>
    <t>block (on blinding)</t>
  </si>
  <si>
    <t>0.45</t>
  </si>
  <si>
    <t>0.9 </t>
  </si>
  <si>
    <t>0.9</t>
  </si>
  <si>
    <t>0.7 </t>
  </si>
  <si>
    <t>1.4 </t>
  </si>
  <si>
    <t>1.01 pcs</t>
  </si>
  <si>
    <t>element (unit) </t>
  </si>
  <si>
    <t>Placing pier or column, </t>
  </si>
  <si>
    <t>fixing welded, no grout</t>
  </si>
  <si>
    <t>1.56</t>
  </si>
  <si>
    <t>3.72</t>
  </si>
  <si>
    <t>1.38</t>
  </si>
  <si>
    <t>Placing RC beam, lintel or  </t>
  </si>
  <si>
    <t>joist, fixing welded, no grout</t>
  </si>
  <si>
    <t>0.13</t>
  </si>
  <si>
    <t>0.39</t>
  </si>
  <si>
    <t>3.87</t>
  </si>
  <si>
    <t>Placing floor- or roof-piece,</t>
  </si>
  <si>
    <t>0.14</t>
  </si>
  <si>
    <t>0.44</t>
  </si>
  <si>
    <t>Placing other elements  </t>
  </si>
  <si>
    <t>(arms of stairs,  </t>
  </si>
  <si>
    <t>moulding, balcony, attic)</t>
  </si>
  <si>
    <t>Grouting fixing joints</t>
  </si>
  <si>
    <t>9.73</t>
  </si>
  <si>
    <t>Masonry structures (labour)</t>
  </si>
  <si>
    <t>Masonry piece (block)</t>
  </si>
  <si>
    <t>Standard.</t>
  </si>
  <si>
    <t>brick</t>
  </si>
  <si>
    <t>Elevated </t>
  </si>
  <si>
    <t>Double-</t>
  </si>
  <si>
    <t>sized </t>
  </si>
  <si>
    <t>Masonry </t>
  </si>
  <si>
    <t>block </t>
  </si>
  <si>
    <t>e.g. B30</t>
  </si>
  <si>
    <t>Rubblestone</t>
  </si>
  <si>
    <t>(backed)</t>
  </si>
  <si>
    <t>Partition</t>
  </si>
  <si>
    <t>brick, thick </t>
  </si>
  <si>
    <t> 6 or 10 cm</t>
  </si>
  <si>
    <t>Concrete</t>
  </si>
  <si>
    <t>masonry</t>
  </si>
  <si>
    <t>block</t>
  </si>
  <si>
    <t>Vertical loadbearing wall, </t>
  </si>
  <si>
    <t>filling work, spandrel</t>
  </si>
  <si>
    <t>2.3 </t>
  </si>
  <si>
    <t>mason </t>
  </si>
  <si>
    <t>Pier or column</t>
  </si>
  <si>
    <t>7.68 </t>
  </si>
  <si>
    <t>Chimney-breast  </t>
  </si>
  <si>
    <t>(for fume) </t>
  </si>
  <si>
    <t>(std. or chimney brick)</t>
  </si>
  <si>
    <t>5.49 </t>
  </si>
  <si>
    <t>0.46 </t>
  </si>
  <si>
    <t>0.46</t>
  </si>
  <si>
    <t>Air chimney</t>
  </si>
  <si>
    <t>0.78 </t>
  </si>
  <si>
    <t>0.94 </t>
  </si>
  <si>
    <t>0.44 </t>
  </si>
  <si>
    <t>Air duct  </t>
  </si>
  <si>
    <t>(at floor structures)</t>
  </si>
  <si>
    <t>0.13 </t>
  </si>
  <si>
    <t>Brick-on-edge  </t>
  </si>
  <si>
    <t>or partition wall</t>
  </si>
  <si>
    <t>0.65 </t>
  </si>
  <si>
    <t>0.42 </t>
  </si>
  <si>
    <t>Protecting wall </t>
  </si>
  <si>
    <t>(at sealing, proofing)</t>
  </si>
  <si>
    <t>0.54 </t>
  </si>
  <si>
    <t>Masonry structures (material)</t>
  </si>
  <si>
    <t>Structure</t>
  </si>
  <si>
    <t>Standard</t>
  </si>
  <si>
    <t>Elevated</t>
  </si>
  <si>
    <t>Double</t>
  </si>
  <si>
    <t>block  </t>
  </si>
  <si>
    <t>6 or 10 cm</t>
  </si>
  <si>
    <t>Prefabr. </t>
  </si>
  <si>
    <t>chimney</t>
  </si>
  <si>
    <t>blocks</t>
  </si>
  <si>
    <t>404 pcs </t>
  </si>
  <si>
    <t>309 pcs </t>
  </si>
  <si>
    <t>202 pcs </t>
  </si>
  <si>
    <t>121 pcs </t>
  </si>
  <si>
    <t>106 pcs std. bricks </t>
  </si>
  <si>
    <t>450 pcs </t>
  </si>
  <si>
    <t>383 pcs </t>
  </si>
  <si>
    <t>3.15 pcs</t>
  </si>
  <si>
    <t>33 pcs </t>
  </si>
  <si>
    <t>13 pcs </t>
  </si>
  <si>
    <t>16.6 pcs </t>
  </si>
  <si>
    <t>8.4 pcs</t>
  </si>
  <si>
    <t>2.6 pcs</t>
  </si>
  <si>
    <t>55 pcs </t>
  </si>
  <si>
    <t>12.7 pcs</t>
  </si>
  <si>
    <t>Assembly and other masonry works</t>
  </si>
  <si>
    <t>Time standard</t>
  </si>
  <si>
    <t>Building brick sewer (channel) or duct, </t>
  </si>
  <si>
    <t>concrete bottom, clearance 30x50 cm</t>
  </si>
  <si>
    <t>0.49 </t>
  </si>
  <si>
    <t>45 pcs </t>
  </si>
  <si>
    <t>Standard brick </t>
  </si>
  <si>
    <t>Building brick cable-duct, </t>
  </si>
  <si>
    <t>clearance 12x12 cm</t>
  </si>
  <si>
    <t>8 pcs </t>
  </si>
  <si>
    <t>3.4 pcs </t>
  </si>
  <si>
    <t>standard brick </t>
  </si>
  <si>
    <t>duct block </t>
  </si>
  <si>
    <t>Building rabitz (mesh) channel (duct) </t>
  </si>
  <si>
    <t>(gypsum or cement)</t>
  </si>
  <si>
    <t>2 kg </t>
  </si>
  <si>
    <t>gypsum- or cement-mortar </t>
  </si>
  <si>
    <t>rib-wire mesh </t>
  </si>
  <si>
    <t>reinforcing steel </t>
  </si>
  <si>
    <t>wood plank</t>
  </si>
  <si>
    <t>Concrete pavement, cast on site, </t>
  </si>
  <si>
    <t>gravel bedding, not thicker than 8 cm</t>
  </si>
  <si>
    <t>0.35 </t>
  </si>
  <si>
    <t>0.48</t>
  </si>
  <si>
    <t>Concrete pavement, precast stone flags </t>
  </si>
  <si>
    <t>(e.g. 40x40 cm)</t>
  </si>
  <si>
    <t>0.25 </t>
  </si>
  <si>
    <t>0.43</t>
  </si>
  <si>
    <t>6.32 pcs</t>
  </si>
  <si>
    <t>stone flag</t>
  </si>
  <si>
    <t>Concrete gutter (channel), </t>
  </si>
  <si>
    <t>on 8 cm gravel bed</t>
  </si>
  <si>
    <t>0.24 </t>
  </si>
  <si>
    <t>0.21</t>
  </si>
  <si>
    <t>gravel </t>
  </si>
  <si>
    <t>shutter board</t>
  </si>
  <si>
    <t>Concrete coping, not thicker than 10 cm, </t>
  </si>
  <si>
    <t>on chimney, on fence- or fender-wall, etc.</t>
  </si>
  <si>
    <t>Water proofing</t>
  </si>
  <si>
    <t>Any </t>
  </si>
  <si>
    <t>surface</t>
  </si>
  <si>
    <t>Horizontal surface</t>
  </si>
  <si>
    <t>Vertical surface</t>
  </si>
  <si>
    <t>below </t>
  </si>
  <si>
    <t>above </t>
  </si>
  <si>
    <t>Time standard (hour)</t>
  </si>
  <si>
    <t>Bituminous emulsion, </t>
  </si>
  <si>
    <t>single coat</t>
  </si>
  <si>
    <t>1.01 </t>
  </si>
  <si>
    <t>0.77</t>
  </si>
  <si>
    <t>proof worker </t>
  </si>
  <si>
    <t>0.04 t</t>
  </si>
  <si>
    <t>bituminous</t>
  </si>
  <si>
    <t>emulsion</t>
  </si>
  <si>
    <t>Bituminous emulsion </t>
  </si>
  <si>
    <t>double coat</t>
  </si>
  <si>
    <t>2.02 </t>
  </si>
  <si>
    <t>1.44</t>
  </si>
  <si>
    <t>0.08 t</t>
  </si>
  <si>
    <t>Bituminous felt </t>
  </si>
  <si>
    <t>6.03 </t>
  </si>
  <si>
    <t>7.58</t>
  </si>
  <si>
    <t>4.56 </t>
  </si>
  <si>
    <t>5.33</t>
  </si>
  <si>
    <t>8.22 </t>
  </si>
  <si>
    <t>5.93 </t>
  </si>
  <si>
    <t>7.87</t>
  </si>
  <si>
    <t>0.3 t</t>
  </si>
  <si>
    <t>bituminous felt </t>
  </si>
  <si>
    <t>bitumen</t>
  </si>
  <si>
    <t>11.28 </t>
  </si>
  <si>
    <t>12.83</t>
  </si>
  <si>
    <t>8.34 </t>
  </si>
  <si>
    <t>9.89</t>
  </si>
  <si>
    <t>15.27 </t>
  </si>
  <si>
    <t>17.21</t>
  </si>
  <si>
    <t>10.69 </t>
  </si>
  <si>
    <t>12.63</t>
  </si>
  <si>
    <t>0.44 t</t>
  </si>
  <si>
    <t>triple coat</t>
  </si>
  <si>
    <t>16.7 </t>
  </si>
  <si>
    <t>11.58 </t>
  </si>
  <si>
    <t>21.87 </t>
  </si>
  <si>
    <t>23.81</t>
  </si>
  <si>
    <t>16.0 </t>
  </si>
  <si>
    <t>17.94</t>
  </si>
  <si>
    <t>0.6 t</t>
  </si>
  <si>
    <t>four coats</t>
  </si>
  <si>
    <t>23.49</t>
  </si>
  <si>
    <t>15.54 </t>
  </si>
  <si>
    <t>30.73 </t>
  </si>
  <si>
    <t>32.67</t>
  </si>
  <si>
    <t>19.61 </t>
  </si>
  <si>
    <t>21.55</t>
  </si>
  <si>
    <t>0.76 t</t>
  </si>
  <si>
    <t>Plastic/rubber </t>
  </si>
  <si>
    <t>felt/foil, single</t>
  </si>
  <si>
    <t>4.5 </t>
  </si>
  <si>
    <t>115 m</t>
  </si>
  <si>
    <t>insulating foil. </t>
  </si>
  <si>
    <t>binding tape</t>
  </si>
  <si>
    <t>Heat- and noise insulation</t>
  </si>
  <si>
    <t>Horizontal</t>
  </si>
  <si>
    <t>Vertical</t>
  </si>
  <si>
    <t>Porour brick tile insulation </t>
  </si>
  <si>
    <t>embedded in mortar</t>
  </si>
  <si>
    <t>0.16 </t>
  </si>
  <si>
    <t>porous brick tile </t>
  </si>
  <si>
    <t>Perlite-concrete insulation,</t>
  </si>
  <si>
    <t>thickness below 4 cm</t>
  </si>
  <si>
    <t>5.2 </t>
  </si>
  <si>
    <t>11.5 </t>
  </si>
  <si>
    <t>thickness above 4 cm</t>
  </si>
  <si>
    <t>2.8 </t>
  </si>
  <si>
    <t>6.3 </t>
  </si>
  <si>
    <t>Gas-silicate tile insulation,</t>
  </si>
  <si>
    <t>tile size 52.8x24 cm</t>
  </si>
  <si>
    <t>0.23 </t>
  </si>
  <si>
    <t>0.23</t>
  </si>
  <si>
    <t>8.1 pcs </t>
  </si>
  <si>
    <t>gas-silicate tile </t>
  </si>
  <si>
    <t>Gas-silicate insulation,</t>
  </si>
  <si>
    <t>tile size 79.5x24 cm</t>
  </si>
  <si>
    <t>0.09</t>
  </si>
  <si>
    <t>Foamed plastic heat-insulation,</t>
  </si>
  <si>
    <t>two layers, bonded</t>
  </si>
  <si>
    <t>0.75 </t>
  </si>
  <si>
    <t>1.2 kg</t>
  </si>
  <si>
    <t>insulating board </t>
  </si>
  <si>
    <t>adhesive (bond)</t>
  </si>
  <si>
    <t>Glassfiber mat heat-insulation,</t>
  </si>
  <si>
    <t>hard crusted</t>
  </si>
  <si>
    <t>7.7 kg </t>
  </si>
  <si>
    <t>7.3 kg</t>
  </si>
  <si>
    <t>glassfiber mat </t>
  </si>
  <si>
    <t>fossil meal </t>
  </si>
  <si>
    <t>gypsum</t>
  </si>
  <si>
    <t>Heat- and noise insulation,</t>
  </si>
  <si>
    <t>insulating board,  </t>
  </si>
  <si>
    <t>nailed, on roof or on wall</t>
  </si>
  <si>
    <t>0.22 </t>
  </si>
  <si>
    <t>insulating board</t>
  </si>
  <si>
    <t>Roof structures and roofings</t>
  </si>
  <si>
    <t>Roof trussing (standing and fixing) </t>
  </si>
  <si>
    <t>floor  </t>
  </si>
  <si>
    <t>0.68 </t>
  </si>
  <si>
    <t>0.34</t>
  </si>
  <si>
    <t>lagging strip </t>
  </si>
  <si>
    <t>timber </t>
  </si>
  <si>
    <t>Roof lathing or planking, </t>
  </si>
  <si>
    <t>for below tiles or slates</t>
  </si>
  <si>
    <t>0.11</t>
  </si>
  <si>
    <t>rib (for tiles) </t>
  </si>
  <si>
    <t>rib (for slates) </t>
  </si>
  <si>
    <t>plank (for slates)</t>
  </si>
  <si>
    <t>Slating on laths or on planks </t>
  </si>
  <si>
    <t>(quantities for standard slate of 40x40 cm)</t>
  </si>
  <si>
    <t>20.1 </t>
  </si>
  <si>
    <t>85 pcs </t>
  </si>
  <si>
    <t>1000 pcs </t>
  </si>
  <si>
    <t>39 pcs</t>
  </si>
  <si>
    <t>rim (flash) plate </t>
  </si>
  <si>
    <t>asbestos slate</t>
  </si>
  <si>
    <t>bonnet piece</t>
  </si>
  <si>
    <t>overlapping, on wood or on concrete</t>
  </si>
  <si>
    <t>15.58 </t>
  </si>
  <si>
    <t>46 pcs </t>
  </si>
  <si>
    <t>or 75 pcs</t>
  </si>
  <si>
    <t>overlapping</t>
  </si>
  <si>
    <t>12.0 </t>
  </si>
  <si>
    <t>12.0</t>
  </si>
  <si>
    <t>78.8 pcs</t>
  </si>
  <si>
    <t>Tile roofing, standard tiles</t>
  </si>
  <si>
    <t>8.2 </t>
  </si>
  <si>
    <t>1800 pcs </t>
  </si>
  <si>
    <t>1600 pcs</t>
  </si>
  <si>
    <t>wire-cut gutter tile </t>
  </si>
  <si>
    <t>pressed gutter tile</t>
  </si>
  <si>
    <t>Adhesive-bonded roofing on concrete or </t>
  </si>
  <si>
    <t>on heat-insulating surface, single layer</t>
  </si>
  <si>
    <t>4.49 </t>
  </si>
  <si>
    <t>5.38</t>
  </si>
  <si>
    <t>0.22 t</t>
  </si>
  <si>
    <t>sanded bitum. felt </t>
  </si>
  <si>
    <t>on heat-insulating surface, double layer</t>
  </si>
  <si>
    <t>8.12 </t>
  </si>
  <si>
    <t>9.74</t>
  </si>
  <si>
    <t>0.38 t</t>
  </si>
  <si>
    <t>sanded bitum.felt </t>
  </si>
  <si>
    <t>Heat-insulation and wapour-barrier,  </t>
  </si>
  <si>
    <t>combined of NEOACID sheet and  </t>
  </si>
  <si>
    <t>of 3-6 cm thick expanded cork sheet</t>
  </si>
  <si>
    <t>89.0 </t>
  </si>
  <si>
    <t>80.0</t>
  </si>
  <si>
    <t>labourer.</t>
  </si>
  <si>
    <t>208 pcs </t>
  </si>
  <si>
    <t>0.81 t</t>
  </si>
  <si>
    <t>NEOACID sheet </t>
  </si>
  <si>
    <t>expanded cork sheet </t>
  </si>
  <si>
    <t>Metal-sheet roofing, single seamed sheets</t>
  </si>
  <si>
    <t>39.0 </t>
  </si>
  <si>
    <t>36.0</t>
  </si>
  <si>
    <t>sheet-metal</t>
  </si>
  <si>
    <t>Combined water-proof and heat-insulation: </t>
  </si>
  <si>
    <t>1 layer NEOACID sheet </t>
  </si>
  <si>
    <t>1 sheet/layer glass-laminate bituminous felt</t>
  </si>
  <si>
    <t>4 cm foamed plastic board </t>
  </si>
  <si>
    <t>1 sheet/layer vapour barrier foil</t>
  </si>
  <si>
    <t>1.53 </t>
  </si>
  <si>
    <t>1.53</t>
  </si>
  <si>
    <t>0.0106 t</t>
  </si>
  <si>
    <t>glass-lamin. bit.felt </t>
  </si>
  <si>
    <t>4 cm foamed plastic </t>
  </si>
  <si>
    <t>foil</t>
  </si>
  <si>
    <t>1 coat light-stability enamel </t>
  </si>
  <si>
    <t>1 sheet/layer water proof foil</t>
  </si>
  <si>
    <t>6 cm foamed plastic board </t>
  </si>
  <si>
    <t>1 sheet/layer vapour-barrier foil</t>
  </si>
  <si>
    <t>1.1 </t>
  </si>
  <si>
    <t>0.6 kg </t>
  </si>
  <si>
    <t>1.15 m </t>
  </si>
  <si>
    <t>light-stability enamel </t>
  </si>
  <si>
    <t>plastic/rubber felt/foil </t>
  </si>
  <si>
    <t>bond tape </t>
  </si>
  <si>
    <t>adhesive </t>
  </si>
  <si>
    <t>6 cm foamed plastic </t>
  </si>
  <si>
    <t>Shuttering (auxiliary structures)</t>
  </si>
  <si>
    <t>Assembly</t>
  </si>
  <si>
    <t>Dismantle</t>
  </si>
  <si>
    <t>Time standard  </t>
  </si>
  <si>
    <t>Wall shuttering, double sided,  </t>
  </si>
  <si>
    <t>vertical or lean surface</t>
  </si>
  <si>
    <t>0.47 </t>
  </si>
  <si>
    <t>0.04</t>
  </si>
  <si>
    <t>labourer </t>
  </si>
  <si>
    <t>lagging strip</t>
  </si>
  <si>
    <t>Wall shuttering, double sided, </t>
  </si>
  <si>
    <t>bent surface</t>
  </si>
  <si>
    <t>0.99 </t>
  </si>
  <si>
    <t>board </t>
  </si>
  <si>
    <t>log (bar)</t>
  </si>
  <si>
    <t>Wall shuttering, single sided, </t>
  </si>
  <si>
    <t>0.38 </t>
  </si>
  <si>
    <t>0.02</t>
  </si>
  <si>
    <t>log (bar) </t>
  </si>
  <si>
    <t>0.95 </t>
  </si>
  <si>
    <t>0.05</t>
  </si>
  <si>
    <t>Column shuttering,  </t>
  </si>
  <si>
    <t>rectangular, cylindric or polygonal</t>
  </si>
  <si>
    <t>1.07 </t>
  </si>
  <si>
    <t>0.27 </t>
  </si>
  <si>
    <t>rib</t>
  </si>
  <si>
    <t>Column shuttering, </t>
  </si>
  <si>
    <t>non-uniform cross section</t>
  </si>
  <si>
    <t>0.83 </t>
  </si>
  <si>
    <t>Shuttering pier or sleeve foundation, </t>
  </si>
  <si>
    <t>frustum (conic/pyramid) surface</t>
  </si>
  <si>
    <t>0.64 </t>
  </si>
  <si>
    <t>board</t>
  </si>
  <si>
    <t>Shuttering beams, ring-beams, </t>
  </si>
  <si>
    <t>with support, below 6 m height</t>
  </si>
  <si>
    <t>without support, above 6 m height</t>
  </si>
  <si>
    <t>0.85 </t>
  </si>
  <si>
    <t>Shuttering slab, with support, </t>
  </si>
  <si>
    <t>below 6 m height</t>
  </si>
  <si>
    <t>Shuttering slab, without support, </t>
  </si>
  <si>
    <t>above 6 m height</t>
  </si>
  <si>
    <t>0.03</t>
  </si>
  <si>
    <t>Shuttering slab-and-girder, </t>
  </si>
  <si>
    <t>0.98 </t>
  </si>
  <si>
    <t>0.63 </t>
  </si>
  <si>
    <t>0.17 </t>
  </si>
  <si>
    <t>shutt.fitter</t>
  </si>
  <si>
    <t>plank</t>
  </si>
  <si>
    <t>Planing any plank (shuttering board)</t>
  </si>
  <si>
    <t>carpenter</t>
  </si>
  <si>
    <t>Planing edge for/at joints/bonds</t>
  </si>
  <si>
    <t>Stair (flight) shuttering, with support, </t>
  </si>
  <si>
    <t>1.08 </t>
  </si>
  <si>
    <t>0.32 </t>
  </si>
  <si>
    <t>Formwork (formwork systems)</t>
  </si>
  <si>
    <t>Time standard </t>
  </si>
  <si>
    <t>Slab/floor shuttering</t>
  </si>
  <si>
    <t>Wall shuttering</t>
  </si>
  <si>
    <t>0.4 </t>
  </si>
  <si>
    <t>Pier/column shuttering (rectangular)</t>
  </si>
  <si>
    <t>Pier/column shuttering (cylindric)</t>
  </si>
  <si>
    <t>Beam shuttering</t>
  </si>
  <si>
    <t>Wall shuttering, single sided</t>
  </si>
  <si>
    <t>Wall shuttering, double sided</t>
  </si>
  <si>
    <t>Wall shuttering, assembled in-situ</t>
  </si>
  <si>
    <t>1.0 </t>
  </si>
  <si>
    <t>Wall shuttering, pre-assembled large panels</t>
  </si>
  <si>
    <t>0.45 </t>
  </si>
  <si>
    <t>0.02 </t>
  </si>
  <si>
    <t>Assembling supports/stands  </t>
  </si>
  <si>
    <t>for slab/roof shuttering</t>
  </si>
  <si>
    <t>Assembling slab/roof shuttering</t>
  </si>
  <si>
    <t>LIFT-FORM construction system</t>
  </si>
  <si>
    <t>Assembling lift jack/post of 1.2 m  </t>
  </si>
  <si>
    <t>height (assembling off 2 parts each)</t>
  </si>
  <si>
    <t>pair</t>
  </si>
  <si>
    <t>1.0</t>
  </si>
  <si>
    <t>Assembling space lattice structure</t>
  </si>
  <si>
    <t>Load transfer to column or to wall</t>
  </si>
  <si>
    <t>0.8 </t>
  </si>
  <si>
    <t>Assembling handrail</t>
  </si>
  <si>
    <t>10 lm</t>
  </si>
  <si>
    <t>lifting/elevation speed: 1.5 hour/1.2 m </t>
  </si>
  <si>
    <t>dismantle speed: 1.4 hour/1.2 m</t>
  </si>
  <si>
    <t>Scaffolding (auxiliary structures)</t>
  </si>
  <si>
    <t>External high-duty scaffolding,  </t>
  </si>
  <si>
    <t>load-bearing capacity</t>
  </si>
  <si>
    <t>Access scaffolding,  </t>
  </si>
  <si>
    <t>at high-duty scaffolds</t>
  </si>
  <si>
    <t>1.05 </t>
  </si>
  <si>
    <t>0.26</t>
  </si>
  <si>
    <t>Internal tubular scaffolding,  </t>
  </si>
  <si>
    <t>single storey, below 10 m height</t>
  </si>
  <si>
    <t>0.73 </t>
  </si>
  <si>
    <t>0.48 </t>
  </si>
  <si>
    <t>11.25 m</t>
  </si>
  <si>
    <t>scaffold tube</t>
  </si>
  <si>
    <t>multi-storey, above 10 m height</t>
  </si>
  <si>
    <t>0.81 </t>
  </si>
  <si>
    <t>0.52 </t>
  </si>
  <si>
    <t>16.2 m</t>
  </si>
  <si>
    <t>0.205 m</t>
  </si>
  <si>
    <t>Internal scaffolding assembled  </t>
  </si>
  <si>
    <t>off access scaffold pieces (scales),  </t>
  </si>
  <si>
    <t>below 10 m height</t>
  </si>
  <si>
    <t>2.45 m </t>
  </si>
  <si>
    <t>0.0612 m </t>
  </si>
  <si>
    <t>scale (ladder) </t>
  </si>
  <si>
    <t>External tubular scaffolding, with  </t>
  </si>
  <si>
    <t>scales (ladders), 2 stands/posts,  </t>
  </si>
  <si>
    <t>2 boards, below 20 m height</t>
  </si>
  <si>
    <t>scaffolding tube </t>
  </si>
  <si>
    <t>2 boards, above 20 m height</t>
  </si>
  <si>
    <t>Bracket scaffolding, single</t>
  </si>
  <si>
    <t>2.49 </t>
  </si>
  <si>
    <t>0.74 </t>
  </si>
  <si>
    <t>Assembling safety railing</t>
  </si>
  <si>
    <t>0.36 </t>
  </si>
  <si>
    <t>0.39 </t>
  </si>
  <si>
    <t>Assembling stand/support for  </t>
  </si>
  <si>
    <t>RC beam shuttering, height range  </t>
  </si>
  <si>
    <t>2.03 </t>
  </si>
  <si>
    <t>0.59</t>
  </si>
  <si>
    <t>RC slab/floor shuttering (plain or </t>
  </si>
  <si>
    <t>slab-and-girder floor), below  </t>
  </si>
  <si>
    <t>10 m height, load-bearing  </t>
  </si>
  <si>
    <t>Preparing working storey  </t>
  </si>
  <si>
    <t>(platform) of/on scaffolding,  </t>
  </si>
  <si>
    <t>single (laminate/layer) boarding</t>
  </si>
  <si>
    <t>Plastering</t>
  </si>
  <si>
    <t>Wall plastering, internal, any surface,  </t>
  </si>
  <si>
    <t>manually (std. thickness 1.5 cm)</t>
  </si>
  <si>
    <t>0.20</t>
  </si>
  <si>
    <t>internal lime-mortar</t>
  </si>
  <si>
    <t>Ceiling plastering, any surface,  </t>
  </si>
  <si>
    <t>manually</t>
  </si>
  <si>
    <t>0.15 </t>
  </si>
  <si>
    <t>internal lime-mortar </t>
  </si>
  <si>
    <t>improved internal lime-mortar</t>
  </si>
  <si>
    <t>Wall rendering, internal, any surface, </t>
  </si>
  <si>
    <t>equipped</t>
  </si>
  <si>
    <t>Ceiling rendering, any surface, </t>
  </si>
  <si>
    <t>Water-proof wall plastering, at industrial  </t>
  </si>
  <si>
    <t>buildings, thickness: 3x5 mm (3 coats)</t>
  </si>
  <si>
    <t>1.29 </t>
  </si>
  <si>
    <t>water-proof cement-mortar</t>
  </si>
  <si>
    <t>External plastering, manually  </t>
  </si>
  <si>
    <t>(lime-mortar rendering, stone-dust </t>
  </si>
  <si>
    <t>mortar floating/covering)</t>
  </si>
  <si>
    <t>0.58 </t>
  </si>
  <si>
    <t>external improved lime-mortar </t>
  </si>
  <si>
    <t>surfacing mortar</t>
  </si>
  <si>
    <t>External plastering, equipped rendering</t>
  </si>
  <si>
    <t>Scouring, terracotta (brick) surface </t>
  </si>
  <si>
    <t>(lime- or cement-mortar)</t>
  </si>
  <si>
    <t>or cement-mortar floating</t>
  </si>
  <si>
    <t>Tiling and covering</t>
  </si>
  <si>
    <t>Subconcrete  </t>
  </si>
  <si>
    <t>(screeded and floated)</t>
  </si>
  <si>
    <t>7.54</t>
  </si>
  <si>
    <t>Concrete flooring  </t>
  </si>
  <si>
    <t>on existing base, </t>
  </si>
  <si>
    <t>cement-mortar (2 cm)</t>
  </si>
  <si>
    <t>Tiling  </t>
  </si>
  <si>
    <t>(floor, wall, column, pier, etc.)</t>
  </si>
  <si>
    <t>1.11 </t>
  </si>
  <si>
    <t>tiler </t>
  </si>
  <si>
    <t>25.5 pcs</t>
  </si>
  <si>
    <t>or 102 pcs </t>
  </si>
  <si>
    <t>or 46 pcs </t>
  </si>
  <si>
    <t>mosaic tile (20x20 cm) </t>
  </si>
  <si>
    <t> or 10x10 cm delftware tile </t>
  </si>
  <si>
    <t>or 15x15 cm tile and </t>
  </si>
  <si>
    <t>Covering footings,  </t>
  </si>
  <si>
    <t>(internal or external) </t>
  </si>
  <si>
    <t>single row, straight</t>
  </si>
  <si>
    <t>10.2 pcs</t>
  </si>
  <si>
    <t>6.8 pcs</t>
  </si>
  <si>
    <t>mosaic tile (20x20 cm) or</t>
  </si>
  <si>
    <t>10x10 cm delftware tiling </t>
  </si>
  <si>
    <t> or 15x15 cm tile</t>
  </si>
  <si>
    <t>Wooden wall-covering</t>
  </si>
  <si>
    <t>wood panel (e.g. wainscot)</t>
  </si>
  <si>
    <t>Parquetry,  </t>
  </si>
  <si>
    <t>(subflooring, pinning, sanding,  </t>
  </si>
  <si>
    <t>enamelling included)</t>
  </si>
  <si>
    <t>0.28 </t>
  </si>
  <si>
    <t>0.25 kg </t>
  </si>
  <si>
    <t>0.15 m</t>
  </si>
  <si>
    <t>board (18 or 24 mm) </t>
  </si>
  <si>
    <t>rabbet </t>
  </si>
  <si>
    <t>parquetry </t>
  </si>
  <si>
    <t>wood rib </t>
  </si>
  <si>
    <t>enamel </t>
  </si>
  <si>
    <t>sandpaper, 40 cm width</t>
  </si>
  <si>
    <t>(bonding, sanding,  </t>
  </si>
  <si>
    <t>4 kg </t>
  </si>
  <si>
    <t>"bonobit s" </t>
  </si>
  <si>
    <t>"ÉKIN 149" </t>
  </si>
  <si>
    <t>Parquetry, mosaic, </t>
  </si>
  <si>
    <t>1.7 kg </t>
  </si>
  <si>
    <t>mosaic parquetry </t>
  </si>
  <si>
    <t>disperse bond</t>
  </si>
  <si>
    <t>Rolled plastic sheet (PVC)  </t>
  </si>
  <si>
    <t>flooring, bonded</t>
  </si>
  <si>
    <t>tiler</t>
  </si>
  <si>
    <t>0.6 kg</t>
  </si>
  <si>
    <t>PVC sheet </t>
  </si>
  <si>
    <t>bond</t>
  </si>
  <si>
    <t>Fitted carpet, on existing  </t>
  </si>
  <si>
    <t>base, bonded</t>
  </si>
  <si>
    <t>0.8 kg</t>
  </si>
  <si>
    <t>carpet </t>
  </si>
  <si>
    <t>"Palmafix" bond</t>
  </si>
  <si>
    <t>Magnesite (composition)  </t>
  </si>
  <si>
    <t>flooring (any color)</t>
  </si>
  <si>
    <t>0.31 </t>
  </si>
  <si>
    <t>11.6 kg </t>
  </si>
  <si>
    <t>9.5 kg</t>
  </si>
  <si>
    <t>magnesite </t>
  </si>
  <si>
    <t>magnesium-chloride flake</t>
  </si>
  <si>
    <t>Basalt chip wear concrete  </t>
  </si>
  <si>
    <t>flooring, thickness 3 cm</t>
  </si>
  <si>
    <t>basalt chip- </t>
  </si>
  <si>
    <t>Levelling course, varying  </t>
  </si>
  <si>
    <t>thickness, on existing base, </t>
  </si>
  <si>
    <t>mortar or concrete spreading</t>
  </si>
  <si>
    <t>Tinsmith works</t>
  </si>
  <si>
    <t>Installing downpipes, eaves,  </t>
  </si>
  <si>
    <t>gutter spouts</t>
  </si>
  <si>
    <t>tinsmith</t>
  </si>
  <si>
    <t>1.01 m</t>
  </si>
  <si>
    <t>elements as specified </t>
  </si>
  <si>
    <t>(downpipes, eaves, etc.)</t>
  </si>
  <si>
    <t>Flashing eaves, walls, chimney  </t>
  </si>
  <si>
    <t>stacks, expansion joints, hood  </t>
  </si>
  <si>
    <t>moulds, string cornices, valleys</t>
  </si>
  <si>
    <t>0.30</t>
  </si>
  <si>
    <t>1.03 m</t>
  </si>
  <si>
    <t>(cornice, wall flashings, etc.)</t>
  </si>
  <si>
    <t>Other tinsmith structures/works  </t>
  </si>
  <si>
    <t>(dormer window, skylight, etc.)</t>
  </si>
  <si>
    <t>0.10 </t>
  </si>
  <si>
    <t>0.10</t>
  </si>
  <si>
    <t>(window, roof exit, etc.)</t>
  </si>
  <si>
    <t>Glazing</t>
  </si>
  <si>
    <t>Single </t>
  </si>
  <si>
    <t>glazing</t>
  </si>
  <si>
    <t>Glazing (sheet glass)</t>
  </si>
  <si>
    <t>0.55</t>
  </si>
  <si>
    <t>glazier</t>
  </si>
  <si>
    <t>sheet glass</t>
  </si>
  <si>
    <t>Cast glass </t>
  </si>
  <si>
    <t>(decorative glass, wired glass)</t>
  </si>
  <si>
    <t>0.64</t>
  </si>
  <si>
    <t>cast glass</t>
  </si>
  <si>
    <t>Heat-insulating glass</t>
  </si>
  <si>
    <t>laminated glass  </t>
  </si>
  <si>
    <t>(compound)</t>
  </si>
  <si>
    <t>Drawn glass </t>
  </si>
  <si>
    <t>profiles</t>
  </si>
  <si>
    <t>plain </t>
  </si>
  <si>
    <t>0.62</t>
  </si>
  <si>
    <t>profiled glass</t>
  </si>
  <si>
    <t>compound</t>
  </si>
  <si>
    <t>0.91</t>
  </si>
  <si>
    <t>Joinery and carpentry works</t>
  </si>
  <si>
    <t>Placing door, window, gate, battening </t>
  </si>
  <si>
    <t>(inwalled during masonry works)</t>
  </si>
  <si>
    <t>elements as specified</t>
  </si>
  <si>
    <t>(door, window, etc.)</t>
  </si>
  <si>
    <t>(after masonry works, subsequently)</t>
  </si>
  <si>
    <t>1.16 </t>
  </si>
  <si>
    <t>Fitting-smith structures</t>
  </si>
  <si>
    <t>Placing steel door or window,</t>
  </si>
  <si>
    <t>perimeter below 5 m</t>
  </si>
  <si>
    <t>subsequent</t>
  </si>
  <si>
    <t>1.12 </t>
  </si>
  <si>
    <t>masonry </t>
  </si>
  <si>
    <t>included</t>
  </si>
  <si>
    <t>Placing steel portal,  </t>
  </si>
  <si>
    <t>door or window,  </t>
  </si>
  <si>
    <t>perimeter above 5 m, </t>
  </si>
  <si>
    <t>(operating devices included)</t>
  </si>
  <si>
    <t>1.33 </t>
  </si>
  <si>
    <t>1.33</t>
  </si>
  <si>
    <t>Placing handrail or scale, </t>
  </si>
  <si>
    <t>pocket or anchor bolt fixing</t>
  </si>
  <si>
    <t>1.0 lm</t>
  </si>
  <si>
    <t>(handrail, scale, etc.)</t>
  </si>
  <si>
    <t>Placing structural steel elements  </t>
  </si>
  <si>
    <t>(e.g. steel-frame pieces)</t>
  </si>
  <si>
    <t>34.0 </t>
  </si>
  <si>
    <t>17.0</t>
  </si>
  <si>
    <t>as specified</t>
  </si>
  <si>
    <t>Decoration and coating</t>
  </si>
  <si>
    <t>Limewash, manual  </t>
  </si>
  <si>
    <t>(3 coats)</t>
  </si>
  <si>
    <t>5.96 </t>
  </si>
  <si>
    <t>1.98</t>
  </si>
  <si>
    <t>painter </t>
  </si>
  <si>
    <t>1.9 kg</t>
  </si>
  <si>
    <t>Limewash, equipped </t>
  </si>
  <si>
    <t>4.72 </t>
  </si>
  <si>
    <t>1.58</t>
  </si>
  <si>
    <t>Internal (distemper) paint,  </t>
  </si>
  <si>
    <t>manual</t>
  </si>
  <si>
    <t>8.74 </t>
  </si>
  <si>
    <t>2.91</t>
  </si>
  <si>
    <t>21.0 kg </t>
  </si>
  <si>
    <t>2.0 kg</t>
  </si>
  <si>
    <t>Vienna white </t>
  </si>
  <si>
    <t>Exterior face decoration,  </t>
  </si>
  <si>
    <t>manual (e.g. Vliesinnel)</t>
  </si>
  <si>
    <t>10.98 </t>
  </si>
  <si>
    <t>3.67</t>
  </si>
  <si>
    <t>90 kg </t>
  </si>
  <si>
    <t>3 kg</t>
  </si>
  <si>
    <t>Vliesin </t>
  </si>
  <si>
    <t>Vliesin-Fixative</t>
  </si>
  <si>
    <t>Exterior face decoration </t>
  </si>
  <si>
    <t>(painting), equipped</t>
  </si>
  <si>
    <t>9.2 </t>
  </si>
  <si>
    <t>Surface preparation </t>
  </si>
  <si>
    <t>(stopping, sanding, dusting)</t>
  </si>
  <si>
    <t>7.2 </t>
  </si>
  <si>
    <t>3.6 kg </t>
  </si>
  <si>
    <t>gypsum </t>
  </si>
  <si>
    <t>Decoration and tapestry  </t>
  </si>
  <si>
    <t>(wallpapering)</t>
  </si>
  <si>
    <t>24.0</t>
  </si>
  <si>
    <t>paper-hanger</t>
  </si>
  <si>
    <t>wallpaper</t>
  </si>
  <si>
    <t>Unrusting on surface</t>
  </si>
  <si>
    <t>painter</t>
  </si>
  <si>
    <t>7 kg</t>
  </si>
  <si>
    <t>cleaner's naphta</t>
  </si>
  <si>
    <t>Unrusting on pipes, </t>
  </si>
  <si>
    <t>diameter below 3"</t>
  </si>
  <si>
    <t>3.52</t>
  </si>
  <si>
    <t>2 kg</t>
  </si>
  <si>
    <t>Priming (paint) on surface</t>
  </si>
  <si>
    <t>10.96</t>
  </si>
  <si>
    <t>11 kg</t>
  </si>
  <si>
    <t>priming paint</t>
  </si>
  <si>
    <t>Priming (paint) on pipes,  </t>
  </si>
  <si>
    <t>3.45</t>
  </si>
  <si>
    <t>4 kg</t>
  </si>
  <si>
    <t>Covering paint on surface, </t>
  </si>
  <si>
    <t>2 coats, </t>
  </si>
  <si>
    <t>21.0</t>
  </si>
  <si>
    <t>covering paint</t>
  </si>
  <si>
    <t>Covering paint on pipes, </t>
  </si>
  <si>
    <t>diameter below 3", 2 coats</t>
  </si>
  <si>
    <t>5 kg</t>
  </si>
  <si>
    <t>Enamel paint on surface</t>
  </si>
  <si>
    <t>14.53</t>
  </si>
  <si>
    <t>13 kg</t>
  </si>
  <si>
    <t>enamel paint</t>
  </si>
  <si>
    <t>Enamel paint, on pipes,  </t>
  </si>
  <si>
    <t>Building service conduits</t>
  </si>
  <si>
    <t>Installing water-pipe, in chase or in duct, </t>
  </si>
  <si>
    <t>diameter below 2"</t>
  </si>
  <si>
    <t>galvanized pipe</t>
  </si>
  <si>
    <t>Installing gas-pipe, out of wall or in chase,  </t>
  </si>
  <si>
    <t>weld joints, tested, diameter below 2"</t>
  </si>
  <si>
    <t>1.04 m </t>
  </si>
  <si>
    <t>0.5 pcs</t>
  </si>
  <si>
    <t>(black) gaspipe </t>
  </si>
  <si>
    <t>(gas)pipe bracket</t>
  </si>
  <si>
    <t>Installing PVC drainage pipe, in chase </t>
  </si>
  <si>
    <t>or in duct, diameter below 110 mm</t>
  </si>
  <si>
    <t>0.59 </t>
  </si>
  <si>
    <t>0.85 m </t>
  </si>
  <si>
    <t>PVC drainage pipe </t>
  </si>
  <si>
    <t>PVC bent pipe</t>
  </si>
  <si>
    <t>STANDARDS FROM THE </t>
  </si>
  <si>
    <t>CONSTRUCTION INDUSTRY </t>
  </si>
  <si>
    <t>.</t>
  </si>
  <si>
    <t>Labourer</t>
  </si>
  <si>
    <t>Workers contributing in performing activities, earlier distinguished mainly due to standard rates (payments) purposes - such as: unskilled workers, trained workers, dikers, concrete labourers - all abbreviated as "lab"</t>
  </si>
  <si>
    <t>Carpenter</t>
  </si>
  <si>
    <t>Referring to workers of trades such as carpentry works and scaffolding</t>
  </si>
  <si>
    <t>Numerical data of material needs are for informing (demonstrative) purposes only, and shouldn't be used directly for any delivery or procurement purposes. They serve as numerical aids for managerial considerations such as transport and on-site storage.</t>
  </si>
  <si>
    <t>Referring (mentioning) main and/or significant materials and structural elements, not including materials of less amount needed or of less significance - such as pins, cramps, wires, dry colours, etc.</t>
  </si>
  <si>
    <t>and mortars</t>
  </si>
  <si>
    <t>Constituents of them are collected in Appendices - by ranges of technical features and of components</t>
  </si>
  <si>
    <r>
      <t>Remarks on Terms read on Standards Sheets</t>
    </r>
    <r>
      <rPr>
        <sz val="14"/>
        <color indexed="8"/>
        <rFont val="Calibri Light"/>
        <family val="2"/>
      </rPr>
      <t> </t>
    </r>
  </si>
  <si>
    <t>Concrete mixtures </t>
  </si>
  <si>
    <r>
      <t>m</t>
    </r>
    <r>
      <rPr>
        <vertAlign val="superscript"/>
        <sz val="11"/>
        <color indexed="8"/>
        <rFont val="Calibri Light"/>
        <family val="2"/>
      </rPr>
      <t>3</t>
    </r>
  </si>
  <si>
    <r>
      <t>m</t>
    </r>
    <r>
      <rPr>
        <vertAlign val="superscript"/>
        <sz val="11"/>
        <color indexed="8"/>
        <rFont val="Calibri Light"/>
        <family val="2"/>
      </rPr>
      <t>2</t>
    </r>
  </si>
  <si>
    <r>
      <t>10m</t>
    </r>
    <r>
      <rPr>
        <vertAlign val="superscript"/>
        <sz val="11"/>
        <color indexed="8"/>
        <rFont val="Calibri Light"/>
        <family val="2"/>
      </rPr>
      <t>2</t>
    </r>
  </si>
  <si>
    <r>
      <t>1.23 m</t>
    </r>
    <r>
      <rPr>
        <vertAlign val="superscript"/>
        <sz val="11"/>
        <color indexed="8"/>
        <rFont val="Calibri Light"/>
        <family val="2"/>
      </rPr>
      <t>3</t>
    </r>
  </si>
  <si>
    <r>
      <t>1.08 m</t>
    </r>
    <r>
      <rPr>
        <vertAlign val="superscript"/>
        <sz val="11"/>
        <color indexed="8"/>
        <rFont val="Calibri Light"/>
        <family val="2"/>
      </rPr>
      <t>3</t>
    </r>
  </si>
  <si>
    <r>
      <t>1.14 m</t>
    </r>
    <r>
      <rPr>
        <vertAlign val="superscript"/>
        <sz val="11"/>
        <color indexed="8"/>
        <rFont val="Calibri Light"/>
        <family val="2"/>
      </rPr>
      <t>3</t>
    </r>
  </si>
  <si>
    <r>
      <t>or 0.0085 m</t>
    </r>
    <r>
      <rPr>
        <vertAlign val="superscript"/>
        <sz val="11"/>
        <color indexed="8"/>
        <rFont val="Calibri Light"/>
        <family val="2"/>
      </rPr>
      <t>3</t>
    </r>
  </si>
  <si>
    <r>
      <t>0.3075 m</t>
    </r>
    <r>
      <rPr>
        <vertAlign val="superscript"/>
        <sz val="11"/>
        <color indexed="8"/>
        <rFont val="Calibri Light"/>
        <family val="2"/>
      </rPr>
      <t>3</t>
    </r>
  </si>
  <si>
    <r>
      <t>Trench timbering</t>
    </r>
    <r>
      <rPr>
        <sz val="11"/>
        <color indexed="8"/>
        <rFont val="Calibri Light"/>
        <family val="2"/>
      </rPr>
      <t> </t>
    </r>
  </si>
  <si>
    <r>
      <t>0.09 m</t>
    </r>
    <r>
      <rPr>
        <vertAlign val="superscript"/>
        <sz val="11"/>
        <color indexed="8"/>
        <rFont val="Calibri Light"/>
        <family val="2"/>
      </rPr>
      <t>3</t>
    </r>
    <r>
      <rPr>
        <sz val="11"/>
        <color indexed="8"/>
        <rFont val="Calibri Light"/>
        <family val="2"/>
      </rPr>
      <t> </t>
    </r>
  </si>
  <si>
    <r>
      <t>0.0045 m</t>
    </r>
    <r>
      <rPr>
        <vertAlign val="superscript"/>
        <sz val="11"/>
        <color indexed="8"/>
        <rFont val="Calibri Light"/>
        <family val="2"/>
      </rPr>
      <t>3</t>
    </r>
    <r>
      <rPr>
        <sz val="11"/>
        <color indexed="8"/>
        <rFont val="Calibri Light"/>
        <family val="2"/>
      </rPr>
      <t> </t>
    </r>
  </si>
  <si>
    <r>
      <t>0.01 m</t>
    </r>
    <r>
      <rPr>
        <vertAlign val="superscript"/>
        <sz val="11"/>
        <color indexed="8"/>
        <rFont val="Calibri Light"/>
        <family val="2"/>
      </rPr>
      <t>3</t>
    </r>
  </si>
  <si>
    <r>
      <t>0.0005 m</t>
    </r>
    <r>
      <rPr>
        <vertAlign val="superscript"/>
        <sz val="11"/>
        <color indexed="8"/>
        <rFont val="Calibri Light"/>
        <family val="2"/>
      </rPr>
      <t>3</t>
    </r>
  </si>
  <si>
    <r>
      <t>0.056 m</t>
    </r>
    <r>
      <rPr>
        <vertAlign val="superscript"/>
        <sz val="11"/>
        <color indexed="8"/>
        <rFont val="Calibri Light"/>
        <family val="2"/>
      </rPr>
      <t>3</t>
    </r>
    <r>
      <rPr>
        <sz val="11"/>
        <color indexed="8"/>
        <rFont val="Calibri Light"/>
        <family val="2"/>
      </rPr>
      <t> </t>
    </r>
  </si>
  <si>
    <r>
      <t>0.0028 m</t>
    </r>
    <r>
      <rPr>
        <vertAlign val="superscript"/>
        <sz val="11"/>
        <color indexed="8"/>
        <rFont val="Calibri Light"/>
        <family val="2"/>
      </rPr>
      <t>3</t>
    </r>
    <r>
      <rPr>
        <sz val="11"/>
        <color indexed="8"/>
        <rFont val="Calibri Light"/>
        <family val="2"/>
      </rPr>
      <t> </t>
    </r>
  </si>
  <si>
    <r>
      <t>0.058 m</t>
    </r>
    <r>
      <rPr>
        <vertAlign val="superscript"/>
        <sz val="11"/>
        <color indexed="8"/>
        <rFont val="Calibri Light"/>
        <family val="2"/>
      </rPr>
      <t>3</t>
    </r>
    <r>
      <rPr>
        <sz val="11"/>
        <color indexed="8"/>
        <rFont val="Calibri Light"/>
        <family val="2"/>
      </rPr>
      <t> </t>
    </r>
  </si>
  <si>
    <r>
      <t>0.003 m</t>
    </r>
    <r>
      <rPr>
        <vertAlign val="superscript"/>
        <sz val="11"/>
        <color indexed="8"/>
        <rFont val="Calibri Light"/>
        <family val="2"/>
      </rPr>
      <t>3</t>
    </r>
    <r>
      <rPr>
        <sz val="11"/>
        <color indexed="8"/>
        <rFont val="Calibri Light"/>
        <family val="2"/>
      </rPr>
      <t> </t>
    </r>
  </si>
  <si>
    <r>
      <t>0.037 m</t>
    </r>
    <r>
      <rPr>
        <vertAlign val="superscript"/>
        <sz val="11"/>
        <color indexed="8"/>
        <rFont val="Calibri Light"/>
        <family val="2"/>
      </rPr>
      <t>3</t>
    </r>
    <r>
      <rPr>
        <sz val="11"/>
        <color indexed="8"/>
        <rFont val="Calibri Light"/>
        <family val="2"/>
      </rPr>
      <t> </t>
    </r>
  </si>
  <si>
    <r>
      <t>0.0019 m</t>
    </r>
    <r>
      <rPr>
        <vertAlign val="superscript"/>
        <sz val="11"/>
        <color indexed="8"/>
        <rFont val="Calibri Light"/>
        <family val="2"/>
      </rPr>
      <t>3</t>
    </r>
    <r>
      <rPr>
        <sz val="11"/>
        <color indexed="8"/>
        <rFont val="Calibri Light"/>
        <family val="2"/>
      </rPr>
      <t> </t>
    </r>
  </si>
  <si>
    <r>
      <t>0.018 m</t>
    </r>
    <r>
      <rPr>
        <vertAlign val="superscript"/>
        <sz val="11"/>
        <color indexed="8"/>
        <rFont val="Calibri Light"/>
        <family val="2"/>
      </rPr>
      <t>3</t>
    </r>
  </si>
  <si>
    <r>
      <t>0.0009 m</t>
    </r>
    <r>
      <rPr>
        <vertAlign val="superscript"/>
        <sz val="11"/>
        <color indexed="8"/>
        <rFont val="Calibri Light"/>
        <family val="2"/>
      </rPr>
      <t>3</t>
    </r>
  </si>
  <si>
    <r>
      <t>0.03 m</t>
    </r>
    <r>
      <rPr>
        <vertAlign val="superscript"/>
        <sz val="11"/>
        <color indexed="8"/>
        <rFont val="Calibri Light"/>
        <family val="2"/>
      </rPr>
      <t>3</t>
    </r>
    <r>
      <rPr>
        <sz val="11"/>
        <color indexed="8"/>
        <rFont val="Calibri Light"/>
        <family val="2"/>
      </rPr>
      <t> </t>
    </r>
  </si>
  <si>
    <r>
      <t>0.0015 m</t>
    </r>
    <r>
      <rPr>
        <vertAlign val="superscript"/>
        <sz val="11"/>
        <color indexed="8"/>
        <rFont val="Calibri Light"/>
        <family val="2"/>
      </rPr>
      <t>3</t>
    </r>
    <r>
      <rPr>
        <sz val="11"/>
        <color indexed="8"/>
        <rFont val="Calibri Light"/>
        <family val="2"/>
      </rPr>
      <t> </t>
    </r>
  </si>
  <si>
    <r>
      <t>Ditch timbering</t>
    </r>
    <r>
      <rPr>
        <sz val="11"/>
        <color indexed="8"/>
        <rFont val="Calibri Light"/>
        <family val="2"/>
      </rPr>
      <t> </t>
    </r>
  </si>
  <si>
    <r>
      <t>0.06 m</t>
    </r>
    <r>
      <rPr>
        <vertAlign val="superscript"/>
        <sz val="11"/>
        <color indexed="8"/>
        <rFont val="Calibri Light"/>
        <family val="2"/>
      </rPr>
      <t>3</t>
    </r>
    <r>
      <rPr>
        <sz val="11"/>
        <color indexed="8"/>
        <rFont val="Calibri Light"/>
        <family val="2"/>
      </rPr>
      <t> </t>
    </r>
  </si>
  <si>
    <r>
      <t>0.0029 m</t>
    </r>
    <r>
      <rPr>
        <vertAlign val="superscript"/>
        <sz val="11"/>
        <color indexed="8"/>
        <rFont val="Calibri Light"/>
        <family val="2"/>
      </rPr>
      <t>3</t>
    </r>
    <r>
      <rPr>
        <sz val="11"/>
        <color indexed="8"/>
        <rFont val="Calibri Light"/>
        <family val="2"/>
      </rPr>
      <t> </t>
    </r>
  </si>
  <si>
    <r>
      <t>0.07 m</t>
    </r>
    <r>
      <rPr>
        <vertAlign val="superscript"/>
        <sz val="11"/>
        <color indexed="8"/>
        <rFont val="Calibri Light"/>
        <family val="2"/>
      </rPr>
      <t>3</t>
    </r>
  </si>
  <si>
    <r>
      <t>0.0035 m</t>
    </r>
    <r>
      <rPr>
        <vertAlign val="superscript"/>
        <sz val="11"/>
        <color indexed="8"/>
        <rFont val="Calibri Light"/>
        <family val="2"/>
      </rPr>
      <t>3</t>
    </r>
  </si>
  <si>
    <r>
      <t>0.059 m</t>
    </r>
    <r>
      <rPr>
        <vertAlign val="superscript"/>
        <sz val="11"/>
        <color indexed="8"/>
        <rFont val="Calibri Light"/>
        <family val="2"/>
      </rPr>
      <t>3</t>
    </r>
    <r>
      <rPr>
        <sz val="11"/>
        <color indexed="8"/>
        <rFont val="Calibri Light"/>
        <family val="2"/>
      </rPr>
      <t> </t>
    </r>
  </si>
  <si>
    <r>
      <t>0.046 m</t>
    </r>
    <r>
      <rPr>
        <vertAlign val="superscript"/>
        <sz val="11"/>
        <color indexed="8"/>
        <rFont val="Calibri Light"/>
        <family val="2"/>
      </rPr>
      <t>3</t>
    </r>
    <r>
      <rPr>
        <sz val="11"/>
        <color indexed="8"/>
        <rFont val="Calibri Light"/>
        <family val="2"/>
      </rPr>
      <t> </t>
    </r>
  </si>
  <si>
    <r>
      <t>0.0023 m</t>
    </r>
    <r>
      <rPr>
        <vertAlign val="superscript"/>
        <sz val="11"/>
        <color indexed="8"/>
        <rFont val="Calibri Light"/>
        <family val="2"/>
      </rPr>
      <t>3</t>
    </r>
    <r>
      <rPr>
        <sz val="11"/>
        <color indexed="8"/>
        <rFont val="Calibri Light"/>
        <family val="2"/>
      </rPr>
      <t> </t>
    </r>
  </si>
  <si>
    <r>
      <t>0.053 m</t>
    </r>
    <r>
      <rPr>
        <vertAlign val="superscript"/>
        <sz val="11"/>
        <color indexed="8"/>
        <rFont val="Calibri Light"/>
        <family val="2"/>
      </rPr>
      <t>3</t>
    </r>
  </si>
  <si>
    <r>
      <t>0.0027 m</t>
    </r>
    <r>
      <rPr>
        <vertAlign val="superscript"/>
        <sz val="11"/>
        <color indexed="8"/>
        <rFont val="Calibri Light"/>
        <family val="2"/>
      </rPr>
      <t>3</t>
    </r>
  </si>
  <si>
    <r>
      <t>0.031 m</t>
    </r>
    <r>
      <rPr>
        <vertAlign val="superscript"/>
        <sz val="11"/>
        <color indexed="8"/>
        <rFont val="Calibri Light"/>
        <family val="2"/>
      </rPr>
      <t>3</t>
    </r>
    <r>
      <rPr>
        <sz val="11"/>
        <color indexed="8"/>
        <rFont val="Calibri Light"/>
        <family val="2"/>
      </rPr>
      <t> </t>
    </r>
  </si>
  <si>
    <r>
      <t>Pit (well) timbering</t>
    </r>
    <r>
      <rPr>
        <sz val="11"/>
        <color indexed="8"/>
        <rFont val="Calibri Light"/>
        <family val="2"/>
      </rPr>
      <t> </t>
    </r>
  </si>
  <si>
    <r>
      <t>0.071 m</t>
    </r>
    <r>
      <rPr>
        <vertAlign val="superscript"/>
        <sz val="11"/>
        <color indexed="8"/>
        <rFont val="Calibri Light"/>
        <family val="2"/>
      </rPr>
      <t>3</t>
    </r>
    <r>
      <rPr>
        <sz val="11"/>
        <color indexed="8"/>
        <rFont val="Calibri Light"/>
        <family val="2"/>
      </rPr>
      <t> </t>
    </r>
  </si>
  <si>
    <r>
      <t>0.0036 m</t>
    </r>
    <r>
      <rPr>
        <vertAlign val="superscript"/>
        <sz val="11"/>
        <color indexed="8"/>
        <rFont val="Calibri Light"/>
        <family val="2"/>
      </rPr>
      <t>3</t>
    </r>
    <r>
      <rPr>
        <sz val="11"/>
        <color indexed="8"/>
        <rFont val="Calibri Light"/>
        <family val="2"/>
      </rPr>
      <t> </t>
    </r>
  </si>
  <si>
    <r>
      <t>0.04 m</t>
    </r>
    <r>
      <rPr>
        <vertAlign val="superscript"/>
        <sz val="11"/>
        <color indexed="8"/>
        <rFont val="Calibri Light"/>
        <family val="2"/>
      </rPr>
      <t>3</t>
    </r>
    <r>
      <rPr>
        <sz val="11"/>
        <color indexed="8"/>
        <rFont val="Calibri Light"/>
        <family val="2"/>
      </rPr>
      <t> </t>
    </r>
  </si>
  <si>
    <r>
      <t>0.002 m</t>
    </r>
    <r>
      <rPr>
        <vertAlign val="superscript"/>
        <sz val="11"/>
        <color indexed="8"/>
        <rFont val="Calibri Light"/>
        <family val="2"/>
      </rPr>
      <t>3</t>
    </r>
    <r>
      <rPr>
        <sz val="11"/>
        <color indexed="8"/>
        <rFont val="Calibri Light"/>
        <family val="2"/>
      </rPr>
      <t> </t>
    </r>
  </si>
  <si>
    <r>
      <t>0.02 m</t>
    </r>
    <r>
      <rPr>
        <vertAlign val="superscript"/>
        <sz val="11"/>
        <color indexed="8"/>
        <rFont val="Calibri Light"/>
        <family val="2"/>
      </rPr>
      <t>3</t>
    </r>
  </si>
  <si>
    <r>
      <t>0.001 m</t>
    </r>
    <r>
      <rPr>
        <vertAlign val="superscript"/>
        <sz val="11"/>
        <color indexed="8"/>
        <rFont val="Calibri Light"/>
        <family val="2"/>
      </rPr>
      <t>3</t>
    </r>
  </si>
  <si>
    <r>
      <t>Metal pile-plank</t>
    </r>
    <r>
      <rPr>
        <sz val="11"/>
        <color indexed="8"/>
        <rFont val="Calibri Light"/>
        <family val="2"/>
      </rPr>
      <t> </t>
    </r>
  </si>
  <si>
    <r>
      <t>1.24 m</t>
    </r>
    <r>
      <rPr>
        <vertAlign val="superscript"/>
        <sz val="11"/>
        <color indexed="8"/>
        <rFont val="Calibri Light"/>
        <family val="2"/>
      </rPr>
      <t>2</t>
    </r>
    <r>
      <rPr>
        <sz val="11"/>
        <color indexed="8"/>
        <rFont val="Calibri Light"/>
        <family val="2"/>
      </rPr>
      <t> </t>
    </r>
  </si>
  <si>
    <r>
      <t>0.04 m</t>
    </r>
    <r>
      <rPr>
        <vertAlign val="superscript"/>
        <sz val="11"/>
        <color indexed="8"/>
        <rFont val="Calibri Light"/>
        <family val="2"/>
      </rPr>
      <t>2</t>
    </r>
    <r>
      <rPr>
        <sz val="11"/>
        <color indexed="8"/>
        <rFont val="Calibri Light"/>
        <family val="2"/>
      </rPr>
      <t> </t>
    </r>
  </si>
  <si>
    <r>
      <t>poling-board timbering</t>
    </r>
    <r>
      <rPr>
        <sz val="11"/>
        <color indexed="8"/>
        <rFont val="Calibri Light"/>
        <family val="2"/>
      </rPr>
      <t> </t>
    </r>
  </si>
  <si>
    <r>
      <t>0.034 m</t>
    </r>
    <r>
      <rPr>
        <vertAlign val="superscript"/>
        <sz val="11"/>
        <color indexed="8"/>
        <rFont val="Calibri Light"/>
        <family val="2"/>
      </rPr>
      <t>3</t>
    </r>
    <r>
      <rPr>
        <sz val="11"/>
        <color indexed="8"/>
        <rFont val="Calibri Light"/>
        <family val="2"/>
      </rPr>
      <t> </t>
    </r>
  </si>
  <si>
    <r>
      <t>0.0034 m</t>
    </r>
    <r>
      <rPr>
        <vertAlign val="superscript"/>
        <sz val="11"/>
        <color indexed="8"/>
        <rFont val="Calibri Light"/>
        <family val="2"/>
      </rPr>
      <t>3</t>
    </r>
    <r>
      <rPr>
        <sz val="11"/>
        <color indexed="8"/>
        <rFont val="Calibri Light"/>
        <family val="2"/>
      </rPr>
      <t> </t>
    </r>
  </si>
  <si>
    <r>
      <t>0.012 m</t>
    </r>
    <r>
      <rPr>
        <vertAlign val="superscript"/>
        <sz val="11"/>
        <color indexed="8"/>
        <rFont val="Calibri Light"/>
        <family val="2"/>
      </rPr>
      <t>3</t>
    </r>
  </si>
  <si>
    <r>
      <t>0.0012 m</t>
    </r>
    <r>
      <rPr>
        <vertAlign val="superscript"/>
        <sz val="11"/>
        <color indexed="8"/>
        <rFont val="Calibri Light"/>
        <family val="2"/>
      </rPr>
      <t>3</t>
    </r>
  </si>
  <si>
    <r>
      <t>1.06 m</t>
    </r>
    <r>
      <rPr>
        <vertAlign val="superscript"/>
        <sz val="11"/>
        <color indexed="8"/>
        <rFont val="Calibri Light"/>
        <family val="2"/>
      </rPr>
      <t>2</t>
    </r>
    <r>
      <rPr>
        <sz val="11"/>
        <color indexed="8"/>
        <rFont val="Calibri Light"/>
        <family val="2"/>
      </rPr>
      <t> </t>
    </r>
  </si>
  <si>
    <r>
      <t>0.150 m</t>
    </r>
    <r>
      <rPr>
        <vertAlign val="superscript"/>
        <sz val="11"/>
        <color indexed="8"/>
        <rFont val="Calibri Light"/>
        <family val="2"/>
      </rPr>
      <t>2</t>
    </r>
    <r>
      <rPr>
        <sz val="11"/>
        <color indexed="8"/>
        <rFont val="Calibri Light"/>
        <family val="2"/>
      </rPr>
      <t> </t>
    </r>
  </si>
  <si>
    <r>
      <t>5 m</t>
    </r>
    <r>
      <rPr>
        <vertAlign val="superscript"/>
        <sz val="11"/>
        <color indexed="8"/>
        <rFont val="Calibri Light"/>
        <family val="2"/>
      </rPr>
      <t>2</t>
    </r>
    <r>
      <rPr>
        <sz val="11"/>
        <color indexed="8"/>
        <rFont val="Calibri Light"/>
        <family val="2"/>
      </rPr>
      <t>/hour</t>
    </r>
  </si>
  <si>
    <r>
      <t>10 m</t>
    </r>
    <r>
      <rPr>
        <vertAlign val="superscript"/>
        <sz val="11"/>
        <color indexed="8"/>
        <rFont val="Calibri Light"/>
        <family val="2"/>
      </rPr>
      <t>2</t>
    </r>
    <r>
      <rPr>
        <sz val="11"/>
        <color indexed="8"/>
        <rFont val="Calibri Light"/>
        <family val="2"/>
      </rPr>
      <t>/hour</t>
    </r>
  </si>
  <si>
    <r>
      <t>0.022 m</t>
    </r>
    <r>
      <rPr>
        <vertAlign val="superscript"/>
        <sz val="11"/>
        <color indexed="8"/>
        <rFont val="Calibri Light"/>
        <family val="2"/>
      </rPr>
      <t>3</t>
    </r>
  </si>
  <si>
    <r>
      <t>0.0022 m</t>
    </r>
    <r>
      <rPr>
        <vertAlign val="superscript"/>
        <sz val="11"/>
        <color indexed="8"/>
        <rFont val="Calibri Light"/>
        <family val="2"/>
      </rPr>
      <t>3</t>
    </r>
  </si>
  <si>
    <r>
      <t>0.12 m</t>
    </r>
    <r>
      <rPr>
        <vertAlign val="superscript"/>
        <sz val="11"/>
        <color indexed="8"/>
        <rFont val="Calibri Light"/>
        <family val="2"/>
      </rPr>
      <t>3</t>
    </r>
  </si>
  <si>
    <r>
      <t>0.198 m</t>
    </r>
    <r>
      <rPr>
        <vertAlign val="superscript"/>
        <sz val="11"/>
        <color indexed="8"/>
        <rFont val="Calibri Light"/>
        <family val="2"/>
      </rPr>
      <t>3</t>
    </r>
  </si>
  <si>
    <r>
      <t>zinc coated steel pipe</t>
    </r>
    <r>
      <rPr>
        <vertAlign val="superscript"/>
        <sz val="11"/>
        <color indexed="8"/>
        <rFont val="Calibri Light"/>
        <family val="2"/>
      </rPr>
      <t>x</t>
    </r>
    <r>
      <rPr>
        <sz val="11"/>
        <color indexed="8"/>
        <rFont val="Calibri Light"/>
        <family val="2"/>
      </rPr>
      <t> </t>
    </r>
  </si>
  <si>
    <r>
      <t>perforated casing</t>
    </r>
    <r>
      <rPr>
        <vertAlign val="superscript"/>
        <sz val="11"/>
        <color indexed="8"/>
        <rFont val="Calibri Light"/>
        <family val="2"/>
      </rPr>
      <t>x</t>
    </r>
    <r>
      <rPr>
        <sz val="11"/>
        <color indexed="8"/>
        <rFont val="Calibri Light"/>
        <family val="2"/>
      </rPr>
      <t> </t>
    </r>
  </si>
  <si>
    <r>
      <t>NPS 100-NPS 300</t>
    </r>
    <r>
      <rPr>
        <vertAlign val="superscript"/>
        <sz val="11"/>
        <color indexed="8"/>
        <rFont val="Calibri Light"/>
        <family val="2"/>
      </rPr>
      <t>x</t>
    </r>
  </si>
  <si>
    <r>
      <t>100m</t>
    </r>
    <r>
      <rPr>
        <vertAlign val="superscript"/>
        <sz val="11"/>
        <color indexed="8"/>
        <rFont val="Calibri Light"/>
        <family val="2"/>
      </rPr>
      <t>2</t>
    </r>
  </si>
  <si>
    <r>
      <t>0.039 m</t>
    </r>
    <r>
      <rPr>
        <vertAlign val="superscript"/>
        <sz val="11"/>
        <color indexed="8"/>
        <rFont val="Calibri Light"/>
        <family val="2"/>
      </rPr>
      <t>3</t>
    </r>
    <r>
      <rPr>
        <sz val="11"/>
        <color indexed="8"/>
        <rFont val="Calibri Light"/>
        <family val="2"/>
      </rPr>
      <t> </t>
    </r>
  </si>
  <si>
    <r>
      <t>caustic lime</t>
    </r>
    <r>
      <rPr>
        <vertAlign val="superscript"/>
        <sz val="11"/>
        <color indexed="8"/>
        <rFont val="Calibri Light"/>
        <family val="2"/>
      </rPr>
      <t>x</t>
    </r>
    <r>
      <rPr>
        <sz val="11"/>
        <color indexed="8"/>
        <rFont val="Calibri Light"/>
        <family val="2"/>
      </rPr>
      <t> </t>
    </r>
  </si>
  <si>
    <r>
      <t>0.02 m</t>
    </r>
    <r>
      <rPr>
        <vertAlign val="superscript"/>
        <sz val="11"/>
        <color indexed="8"/>
        <rFont val="Calibri Light"/>
        <family val="2"/>
      </rPr>
      <t>3</t>
    </r>
    <r>
      <rPr>
        <sz val="11"/>
        <color indexed="8"/>
        <rFont val="Calibri Light"/>
        <family val="2"/>
      </rPr>
      <t> </t>
    </r>
  </si>
  <si>
    <r>
      <t>0.0045 m</t>
    </r>
    <r>
      <rPr>
        <vertAlign val="superscript"/>
        <sz val="11"/>
        <color indexed="8"/>
        <rFont val="Calibri Light"/>
        <family val="2"/>
      </rPr>
      <t>3</t>
    </r>
  </si>
  <si>
    <r>
      <t>caustic lime</t>
    </r>
    <r>
      <rPr>
        <vertAlign val="superscript"/>
        <sz val="11"/>
        <color indexed="8"/>
        <rFont val="Calibri Light"/>
        <family val="2"/>
      </rPr>
      <t>x</t>
    </r>
  </si>
  <si>
    <r>
      <t>114 m</t>
    </r>
    <r>
      <rPr>
        <vertAlign val="superscript"/>
        <sz val="11"/>
        <color indexed="8"/>
        <rFont val="Calibri Light"/>
        <family val="2"/>
      </rPr>
      <t>2</t>
    </r>
  </si>
  <si>
    <r>
      <t>1.03 m</t>
    </r>
    <r>
      <rPr>
        <vertAlign val="superscript"/>
        <sz val="11"/>
        <color indexed="8"/>
        <rFont val="Calibri Light"/>
        <family val="2"/>
      </rPr>
      <t>2</t>
    </r>
  </si>
  <si>
    <r>
      <t>1.02 m</t>
    </r>
    <r>
      <rPr>
        <vertAlign val="superscript"/>
        <sz val="11"/>
        <color indexed="8"/>
        <rFont val="Calibri Light"/>
        <family val="2"/>
      </rPr>
      <t>2</t>
    </r>
  </si>
  <si>
    <r>
      <t>1.08 m</t>
    </r>
    <r>
      <rPr>
        <vertAlign val="superscript"/>
        <sz val="11"/>
        <color indexed="8"/>
        <rFont val="Calibri Light"/>
        <family val="2"/>
      </rPr>
      <t>2</t>
    </r>
  </si>
  <si>
    <r>
      <t>2.04 m</t>
    </r>
    <r>
      <rPr>
        <vertAlign val="superscript"/>
        <sz val="11"/>
        <color indexed="8"/>
        <rFont val="Calibri Light"/>
        <family val="2"/>
      </rPr>
      <t>2</t>
    </r>
  </si>
  <si>
    <r>
      <t>1.01 m</t>
    </r>
    <r>
      <rPr>
        <vertAlign val="superscript"/>
        <sz val="11"/>
        <color indexed="8"/>
        <rFont val="Calibri Light"/>
        <family val="2"/>
      </rPr>
      <t>3</t>
    </r>
  </si>
  <si>
    <r>
      <t>0.021 m</t>
    </r>
    <r>
      <rPr>
        <vertAlign val="superscript"/>
        <sz val="11"/>
        <color indexed="8"/>
        <rFont val="Calibri Light"/>
        <family val="2"/>
      </rPr>
      <t>3</t>
    </r>
  </si>
  <si>
    <r>
      <t>cement-mortar</t>
    </r>
    <r>
      <rPr>
        <vertAlign val="superscript"/>
        <sz val="11"/>
        <color indexed="8"/>
        <rFont val="Calibri Light"/>
        <family val="2"/>
      </rPr>
      <t>x</t>
    </r>
  </si>
  <si>
    <r>
      <t>0.026 m</t>
    </r>
    <r>
      <rPr>
        <vertAlign val="superscript"/>
        <sz val="11"/>
        <color indexed="8"/>
        <rFont val="Calibri Light"/>
        <family val="2"/>
      </rPr>
      <t>3</t>
    </r>
    <r>
      <rPr>
        <sz val="11"/>
        <color indexed="8"/>
        <rFont val="Calibri Light"/>
        <family val="2"/>
      </rPr>
      <t> </t>
    </r>
  </si>
  <si>
    <r>
      <t>and cement-mortar</t>
    </r>
    <r>
      <rPr>
        <vertAlign val="superscript"/>
        <sz val="11"/>
        <color indexed="8"/>
        <rFont val="Calibri Light"/>
        <family val="2"/>
      </rPr>
      <t>x</t>
    </r>
    <r>
      <rPr>
        <sz val="11"/>
        <color indexed="8"/>
        <rFont val="Calibri Light"/>
        <family val="2"/>
      </rPr>
      <t> </t>
    </r>
  </si>
  <si>
    <r>
      <t>and 0.0155 m</t>
    </r>
    <r>
      <rPr>
        <vertAlign val="superscript"/>
        <sz val="11"/>
        <color indexed="8"/>
        <rFont val="Calibri Light"/>
        <family val="2"/>
      </rPr>
      <t>3</t>
    </r>
    <r>
      <rPr>
        <sz val="11"/>
        <color indexed="8"/>
        <rFont val="Calibri Light"/>
        <family val="2"/>
      </rPr>
      <t> </t>
    </r>
  </si>
  <si>
    <r>
      <t>and 0.016 m</t>
    </r>
    <r>
      <rPr>
        <vertAlign val="superscript"/>
        <sz val="11"/>
        <color indexed="8"/>
        <rFont val="Calibri Light"/>
        <family val="2"/>
      </rPr>
      <t>3</t>
    </r>
  </si>
  <si>
    <r>
      <t>improved lime-stone mortar</t>
    </r>
    <r>
      <rPr>
        <vertAlign val="superscript"/>
        <sz val="11"/>
        <color indexed="8"/>
        <rFont val="Calibri Light"/>
        <family val="2"/>
      </rPr>
      <t>x</t>
    </r>
  </si>
  <si>
    <r>
      <t>0.21 m</t>
    </r>
    <r>
      <rPr>
        <vertAlign val="superscript"/>
        <sz val="11"/>
        <color indexed="8"/>
        <rFont val="Calibri Light"/>
        <family val="2"/>
      </rPr>
      <t>2</t>
    </r>
    <r>
      <rPr>
        <sz val="11"/>
        <color indexed="8"/>
        <rFont val="Calibri Light"/>
        <family val="2"/>
      </rPr>
      <t> </t>
    </r>
  </si>
  <si>
    <r>
      <t>1.1 m</t>
    </r>
    <r>
      <rPr>
        <vertAlign val="superscript"/>
        <sz val="11"/>
        <color indexed="8"/>
        <rFont val="Calibri Light"/>
        <family val="2"/>
      </rPr>
      <t>2</t>
    </r>
  </si>
  <si>
    <r>
      <t>0.72 m</t>
    </r>
    <r>
      <rPr>
        <vertAlign val="superscript"/>
        <sz val="11"/>
        <color indexed="8"/>
        <rFont val="Calibri Light"/>
        <family val="2"/>
      </rPr>
      <t>2</t>
    </r>
    <r>
      <rPr>
        <sz val="11"/>
        <color indexed="8"/>
        <rFont val="Calibri Light"/>
        <family val="2"/>
      </rPr>
      <t> </t>
    </r>
  </si>
  <si>
    <r>
      <t>0.005 m</t>
    </r>
    <r>
      <rPr>
        <vertAlign val="superscript"/>
        <sz val="11"/>
        <color indexed="8"/>
        <rFont val="Calibri Light"/>
        <family val="2"/>
      </rPr>
      <t>3</t>
    </r>
    <r>
      <rPr>
        <sz val="11"/>
        <color indexed="8"/>
        <rFont val="Calibri Light"/>
        <family val="2"/>
      </rPr>
      <t> </t>
    </r>
  </si>
  <si>
    <r>
      <t>0.95 m</t>
    </r>
    <r>
      <rPr>
        <vertAlign val="superscript"/>
        <sz val="11"/>
        <color indexed="8"/>
        <rFont val="Calibri Light"/>
        <family val="2"/>
      </rPr>
      <t>2</t>
    </r>
    <r>
      <rPr>
        <sz val="11"/>
        <color indexed="8"/>
        <rFont val="Calibri Light"/>
        <family val="2"/>
      </rPr>
      <t> </t>
    </r>
  </si>
  <si>
    <r>
      <t>0.08 m</t>
    </r>
    <r>
      <rPr>
        <vertAlign val="superscript"/>
        <sz val="11"/>
        <color indexed="8"/>
        <rFont val="Calibri Light"/>
        <family val="2"/>
      </rPr>
      <t>2</t>
    </r>
    <r>
      <rPr>
        <sz val="11"/>
        <color indexed="8"/>
        <rFont val="Calibri Light"/>
        <family val="2"/>
      </rPr>
      <t> </t>
    </r>
  </si>
  <si>
    <r>
      <t>1.01 m</t>
    </r>
    <r>
      <rPr>
        <vertAlign val="superscript"/>
        <sz val="11"/>
        <color indexed="8"/>
        <rFont val="Calibri Light"/>
        <family val="2"/>
      </rPr>
      <t>2</t>
    </r>
    <r>
      <rPr>
        <sz val="11"/>
        <color indexed="8"/>
        <rFont val="Calibri Light"/>
        <family val="2"/>
      </rPr>
      <t> </t>
    </r>
  </si>
  <si>
    <r>
      <t>1.05 m</t>
    </r>
    <r>
      <rPr>
        <vertAlign val="superscript"/>
        <sz val="11"/>
        <color indexed="8"/>
        <rFont val="Calibri Light"/>
        <family val="2"/>
      </rPr>
      <t>2</t>
    </r>
    <r>
      <rPr>
        <sz val="11"/>
        <color indexed="8"/>
        <rFont val="Calibri Light"/>
        <family val="2"/>
      </rPr>
      <t> </t>
    </r>
  </si>
  <si>
    <r>
      <t>1.1 m</t>
    </r>
    <r>
      <rPr>
        <vertAlign val="superscript"/>
        <sz val="11"/>
        <color indexed="8"/>
        <rFont val="Calibri Light"/>
        <family val="2"/>
      </rPr>
      <t>2</t>
    </r>
    <r>
      <rPr>
        <sz val="11"/>
        <color indexed="8"/>
        <rFont val="Calibri Light"/>
        <family val="2"/>
      </rPr>
      <t> </t>
    </r>
  </si>
  <si>
    <r>
      <t>wear concrete</t>
    </r>
    <r>
      <rPr>
        <vertAlign val="superscript"/>
        <sz val="11"/>
        <color indexed="8"/>
        <rFont val="Calibri Light"/>
        <family val="2"/>
      </rPr>
      <t>x</t>
    </r>
  </si>
  <si>
    <r>
      <t>mortar</t>
    </r>
    <r>
      <rPr>
        <vertAlign val="superscript"/>
        <sz val="11"/>
        <color indexed="8"/>
        <rFont val="Calibri Light"/>
        <family val="2"/>
      </rPr>
      <t>x</t>
    </r>
  </si>
  <si>
    <r>
      <t>Material</t>
    </r>
    <r>
      <rPr>
        <vertAlign val="superscript"/>
        <sz val="11"/>
        <color indexed="8"/>
        <rFont val="Calibri Light"/>
        <family val="2"/>
      </rPr>
      <t>x</t>
    </r>
  </si>
  <si>
    <r>
      <t>0.016 m</t>
    </r>
    <r>
      <rPr>
        <vertAlign val="superscript"/>
        <sz val="11"/>
        <color indexed="8"/>
        <rFont val="Calibri Light"/>
        <family val="2"/>
      </rPr>
      <t>3</t>
    </r>
  </si>
  <si>
    <r>
      <t>0.004 m</t>
    </r>
    <r>
      <rPr>
        <vertAlign val="superscript"/>
        <sz val="11"/>
        <color indexed="8"/>
        <rFont val="Calibri Light"/>
        <family val="2"/>
      </rPr>
      <t>3</t>
    </r>
    <r>
      <rPr>
        <sz val="11"/>
        <color indexed="8"/>
        <rFont val="Calibri Light"/>
        <family val="2"/>
      </rPr>
      <t> </t>
    </r>
  </si>
  <si>
    <r>
      <t>0.013 m</t>
    </r>
    <r>
      <rPr>
        <vertAlign val="superscript"/>
        <sz val="11"/>
        <color indexed="8"/>
        <rFont val="Calibri Light"/>
        <family val="2"/>
      </rPr>
      <t>3</t>
    </r>
  </si>
  <si>
    <r>
      <t>0.0075 m</t>
    </r>
    <r>
      <rPr>
        <vertAlign val="superscript"/>
        <sz val="11"/>
        <color indexed="8"/>
        <rFont val="Calibri Light"/>
        <family val="2"/>
      </rPr>
      <t>3</t>
    </r>
  </si>
  <si>
    <r>
      <t>0.0055 m</t>
    </r>
    <r>
      <rPr>
        <vertAlign val="superscript"/>
        <sz val="11"/>
        <color indexed="8"/>
        <rFont val="Calibri Light"/>
        <family val="2"/>
      </rPr>
      <t>3</t>
    </r>
    <r>
      <rPr>
        <sz val="11"/>
        <color indexed="8"/>
        <rFont val="Calibri Light"/>
        <family val="2"/>
      </rPr>
      <t> </t>
    </r>
  </si>
  <si>
    <r>
      <t>0.0055 m</t>
    </r>
    <r>
      <rPr>
        <vertAlign val="superscript"/>
        <sz val="11"/>
        <color indexed="8"/>
        <rFont val="Calibri Light"/>
        <family val="2"/>
      </rPr>
      <t>3</t>
    </r>
  </si>
  <si>
    <r>
      <t>0.0039 m</t>
    </r>
    <r>
      <rPr>
        <vertAlign val="superscript"/>
        <sz val="11"/>
        <color indexed="8"/>
        <rFont val="Calibri Light"/>
        <family val="2"/>
      </rPr>
      <t>3</t>
    </r>
    <r>
      <rPr>
        <sz val="11"/>
        <color indexed="8"/>
        <rFont val="Calibri Light"/>
        <family val="2"/>
      </rPr>
      <t> </t>
    </r>
  </si>
  <si>
    <r>
      <t>below 20 m height, above 10 kN/m</t>
    </r>
    <r>
      <rPr>
        <vertAlign val="superscript"/>
        <sz val="11"/>
        <color indexed="8"/>
        <rFont val="Calibri Light"/>
        <family val="2"/>
      </rPr>
      <t>2</t>
    </r>
    <r>
      <rPr>
        <sz val="11"/>
        <color indexed="8"/>
        <rFont val="Calibri Light"/>
        <family val="2"/>
      </rPr>
      <t> </t>
    </r>
  </si>
  <si>
    <r>
      <t>0.0162 m</t>
    </r>
    <r>
      <rPr>
        <vertAlign val="superscript"/>
        <sz val="11"/>
        <color indexed="8"/>
        <rFont val="Calibri Light"/>
        <family val="2"/>
      </rPr>
      <t>3</t>
    </r>
    <r>
      <rPr>
        <sz val="11"/>
        <color indexed="8"/>
        <rFont val="Calibri Light"/>
        <family val="2"/>
      </rPr>
      <t> </t>
    </r>
  </si>
  <si>
    <r>
      <t>0.0005 m</t>
    </r>
    <r>
      <rPr>
        <vertAlign val="superscript"/>
        <sz val="11"/>
        <color indexed="8"/>
        <rFont val="Calibri Light"/>
        <family val="2"/>
      </rPr>
      <t>3</t>
    </r>
    <r>
      <rPr>
        <sz val="11"/>
        <color indexed="8"/>
        <rFont val="Calibri Light"/>
        <family val="2"/>
      </rPr>
      <t> </t>
    </r>
  </si>
  <si>
    <r>
      <t>0.0047 m</t>
    </r>
    <r>
      <rPr>
        <vertAlign val="superscript"/>
        <sz val="11"/>
        <color indexed="8"/>
        <rFont val="Calibri Light"/>
        <family val="2"/>
      </rPr>
      <t>3</t>
    </r>
  </si>
  <si>
    <r>
      <t>0.0003 m</t>
    </r>
    <r>
      <rPr>
        <vertAlign val="superscript"/>
        <sz val="11"/>
        <color indexed="8"/>
        <rFont val="Calibri Light"/>
        <family val="2"/>
      </rPr>
      <t>3</t>
    </r>
  </si>
  <si>
    <r>
      <t>0.17 m</t>
    </r>
    <r>
      <rPr>
        <vertAlign val="superscript"/>
        <sz val="11"/>
        <color indexed="8"/>
        <rFont val="Calibri Light"/>
        <family val="2"/>
      </rPr>
      <t>3</t>
    </r>
    <r>
      <rPr>
        <sz val="11"/>
        <color indexed="8"/>
        <rFont val="Calibri Light"/>
        <family val="2"/>
      </rPr>
      <t> </t>
    </r>
  </si>
  <si>
    <r>
      <t>0.0113 m</t>
    </r>
    <r>
      <rPr>
        <vertAlign val="superscript"/>
        <sz val="11"/>
        <color indexed="8"/>
        <rFont val="Calibri Light"/>
        <family val="2"/>
      </rPr>
      <t>3</t>
    </r>
    <r>
      <rPr>
        <sz val="11"/>
        <color indexed="8"/>
        <rFont val="Calibri Light"/>
        <family val="2"/>
      </rPr>
      <t> </t>
    </r>
  </si>
  <si>
    <r>
      <t>0.0522 m</t>
    </r>
    <r>
      <rPr>
        <vertAlign val="superscript"/>
        <sz val="11"/>
        <color indexed="8"/>
        <rFont val="Calibri Light"/>
        <family val="2"/>
      </rPr>
      <t>3</t>
    </r>
    <r>
      <rPr>
        <sz val="11"/>
        <color indexed="8"/>
        <rFont val="Calibri Light"/>
        <family val="2"/>
      </rPr>
      <t> </t>
    </r>
  </si>
  <si>
    <r>
      <t>0.0017 m</t>
    </r>
    <r>
      <rPr>
        <vertAlign val="superscript"/>
        <sz val="11"/>
        <color indexed="8"/>
        <rFont val="Calibri Light"/>
        <family val="2"/>
      </rPr>
      <t>3</t>
    </r>
    <r>
      <rPr>
        <sz val="11"/>
        <color indexed="8"/>
        <rFont val="Calibri Light"/>
        <family val="2"/>
      </rPr>
      <t> </t>
    </r>
  </si>
  <si>
    <r>
      <t>0.0065 m</t>
    </r>
    <r>
      <rPr>
        <vertAlign val="superscript"/>
        <sz val="11"/>
        <color indexed="8"/>
        <rFont val="Calibri Light"/>
        <family val="2"/>
      </rPr>
      <t>3</t>
    </r>
  </si>
  <si>
    <r>
      <t>0.0002 m</t>
    </r>
    <r>
      <rPr>
        <vertAlign val="superscript"/>
        <sz val="11"/>
        <color indexed="8"/>
        <rFont val="Calibri Light"/>
        <family val="2"/>
      </rPr>
      <t>3</t>
    </r>
  </si>
  <si>
    <r>
      <t>0.001 m</t>
    </r>
    <r>
      <rPr>
        <vertAlign val="superscript"/>
        <sz val="11"/>
        <color indexed="8"/>
        <rFont val="Calibri Light"/>
        <family val="2"/>
      </rPr>
      <t>3</t>
    </r>
    <r>
      <rPr>
        <sz val="11"/>
        <color indexed="8"/>
        <rFont val="Calibri Light"/>
        <family val="2"/>
      </rPr>
      <t> </t>
    </r>
  </si>
  <si>
    <r>
      <t>0.1424 m</t>
    </r>
    <r>
      <rPr>
        <vertAlign val="superscript"/>
        <sz val="11"/>
        <color indexed="8"/>
        <rFont val="Calibri Light"/>
        <family val="2"/>
      </rPr>
      <t>3</t>
    </r>
  </si>
  <si>
    <r>
      <t>0.067 m</t>
    </r>
    <r>
      <rPr>
        <vertAlign val="superscript"/>
        <sz val="11"/>
        <color indexed="8"/>
        <rFont val="Calibri Light"/>
        <family val="2"/>
      </rPr>
      <t>3</t>
    </r>
    <r>
      <rPr>
        <sz val="11"/>
        <color indexed="8"/>
        <rFont val="Calibri Light"/>
        <family val="2"/>
      </rPr>
      <t> </t>
    </r>
  </si>
  <si>
    <r>
      <t>0,0011 m</t>
    </r>
    <r>
      <rPr>
        <vertAlign val="superscript"/>
        <sz val="11"/>
        <color indexed="8"/>
        <rFont val="Calibri Light"/>
        <family val="2"/>
      </rPr>
      <t>3</t>
    </r>
    <r>
      <rPr>
        <sz val="11"/>
        <color indexed="8"/>
        <rFont val="Calibri Light"/>
        <family val="2"/>
      </rPr>
      <t> </t>
    </r>
  </si>
  <si>
    <r>
      <t>board</t>
    </r>
    <r>
      <rPr>
        <vertAlign val="superscript"/>
        <sz val="11"/>
        <color indexed="8"/>
        <rFont val="Calibri Light"/>
        <family val="2"/>
      </rPr>
      <t>x</t>
    </r>
    <r>
      <rPr>
        <sz val="11"/>
        <color indexed="8"/>
        <rFont val="Calibri Light"/>
        <family val="2"/>
      </rPr>
      <t> </t>
    </r>
  </si>
  <si>
    <r>
      <t>0.013 m</t>
    </r>
    <r>
      <rPr>
        <vertAlign val="superscript"/>
        <sz val="11"/>
        <color indexed="8"/>
        <rFont val="Calibri Light"/>
        <family val="2"/>
      </rPr>
      <t>3</t>
    </r>
    <r>
      <rPr>
        <sz val="11"/>
        <color indexed="8"/>
        <rFont val="Calibri Light"/>
        <family val="2"/>
      </rPr>
      <t> </t>
    </r>
  </si>
  <si>
    <r>
      <t>0.0008 m</t>
    </r>
    <r>
      <rPr>
        <vertAlign val="superscript"/>
        <sz val="11"/>
        <color indexed="8"/>
        <rFont val="Calibri Light"/>
        <family val="2"/>
      </rPr>
      <t>3</t>
    </r>
    <r>
      <rPr>
        <sz val="11"/>
        <color indexed="8"/>
        <rFont val="Calibri Light"/>
        <family val="2"/>
      </rPr>
      <t> </t>
    </r>
  </si>
  <si>
    <r>
      <t>0.059 m</t>
    </r>
    <r>
      <rPr>
        <vertAlign val="superscript"/>
        <sz val="11"/>
        <color indexed="8"/>
        <rFont val="Calibri Light"/>
        <family val="2"/>
      </rPr>
      <t>3</t>
    </r>
  </si>
  <si>
    <r>
      <t>3.2 m</t>
    </r>
    <r>
      <rPr>
        <vertAlign val="superscript"/>
        <sz val="11"/>
        <color indexed="8"/>
        <rFont val="Calibri Light"/>
        <family val="2"/>
      </rPr>
      <t>3</t>
    </r>
  </si>
  <si>
    <r>
      <t>0.04 m</t>
    </r>
    <r>
      <rPr>
        <vertAlign val="superscript"/>
        <sz val="11"/>
        <color indexed="8"/>
        <rFont val="Calibri Light"/>
        <family val="2"/>
      </rPr>
      <t>3</t>
    </r>
  </si>
  <si>
    <r>
      <t>0.0135 m</t>
    </r>
    <r>
      <rPr>
        <vertAlign val="superscript"/>
        <sz val="11"/>
        <color indexed="8"/>
        <rFont val="Calibri Light"/>
        <family val="2"/>
      </rPr>
      <t>3</t>
    </r>
    <r>
      <rPr>
        <sz val="11"/>
        <color indexed="8"/>
        <rFont val="Calibri Light"/>
        <family val="2"/>
      </rPr>
      <t> </t>
    </r>
  </si>
  <si>
    <r>
      <t>0.0002 m</t>
    </r>
    <r>
      <rPr>
        <vertAlign val="superscript"/>
        <sz val="11"/>
        <color indexed="8"/>
        <rFont val="Calibri Light"/>
        <family val="2"/>
      </rPr>
      <t>3</t>
    </r>
    <r>
      <rPr>
        <sz val="11"/>
        <color indexed="8"/>
        <rFont val="Calibri Light"/>
        <family val="2"/>
      </rPr>
      <t> </t>
    </r>
  </si>
  <si>
    <r>
      <t>0.0023 m</t>
    </r>
    <r>
      <rPr>
        <vertAlign val="superscript"/>
        <sz val="11"/>
        <color indexed="8"/>
        <rFont val="Calibri Light"/>
        <family val="2"/>
      </rPr>
      <t>3</t>
    </r>
  </si>
  <si>
    <r>
      <t>0.00023 m</t>
    </r>
    <r>
      <rPr>
        <vertAlign val="superscript"/>
        <sz val="11"/>
        <color indexed="8"/>
        <rFont val="Calibri Light"/>
        <family val="2"/>
      </rPr>
      <t>3</t>
    </r>
  </si>
  <si>
    <r>
      <t>3.3 m</t>
    </r>
    <r>
      <rPr>
        <vertAlign val="superscript"/>
        <sz val="11"/>
        <color indexed="8"/>
        <rFont val="Calibri Light"/>
        <family val="2"/>
      </rPr>
      <t>3</t>
    </r>
  </si>
  <si>
    <r>
      <t>0.041 m</t>
    </r>
    <r>
      <rPr>
        <vertAlign val="superscript"/>
        <sz val="11"/>
        <color indexed="8"/>
        <rFont val="Calibri Light"/>
        <family val="2"/>
      </rPr>
      <t>3</t>
    </r>
    <r>
      <rPr>
        <sz val="11"/>
        <color indexed="8"/>
        <rFont val="Calibri Light"/>
        <family val="2"/>
      </rPr>
      <t> </t>
    </r>
  </si>
  <si>
    <r>
      <t>0.23 m</t>
    </r>
    <r>
      <rPr>
        <vertAlign val="superscript"/>
        <sz val="11"/>
        <color indexed="8"/>
        <rFont val="Calibri Light"/>
        <family val="2"/>
      </rPr>
      <t>3</t>
    </r>
  </si>
  <si>
    <r>
      <t>0.0001 m</t>
    </r>
    <r>
      <rPr>
        <vertAlign val="superscript"/>
        <sz val="11"/>
        <color indexed="8"/>
        <rFont val="Calibri Light"/>
        <family val="2"/>
      </rPr>
      <t>3</t>
    </r>
  </si>
  <si>
    <r>
      <t>0.055 m</t>
    </r>
    <r>
      <rPr>
        <vertAlign val="superscript"/>
        <sz val="11"/>
        <color indexed="8"/>
        <rFont val="Calibri Light"/>
        <family val="2"/>
      </rPr>
      <t>3</t>
    </r>
    <r>
      <rPr>
        <sz val="11"/>
        <color indexed="8"/>
        <rFont val="Calibri Light"/>
        <family val="2"/>
      </rPr>
      <t> </t>
    </r>
  </si>
  <si>
    <r>
      <t>0.118 m</t>
    </r>
    <r>
      <rPr>
        <vertAlign val="superscript"/>
        <sz val="11"/>
        <color indexed="8"/>
        <rFont val="Calibri Light"/>
        <family val="2"/>
      </rPr>
      <t>3</t>
    </r>
    <r>
      <rPr>
        <sz val="11"/>
        <color indexed="8"/>
        <rFont val="Calibri Light"/>
        <family val="2"/>
      </rPr>
      <t> </t>
    </r>
  </si>
  <si>
    <r>
      <t>0.032 m</t>
    </r>
    <r>
      <rPr>
        <vertAlign val="superscript"/>
        <sz val="11"/>
        <color indexed="8"/>
        <rFont val="Calibri Light"/>
        <family val="2"/>
      </rPr>
      <t>3</t>
    </r>
  </si>
  <si>
    <r>
      <t>0.06 m</t>
    </r>
    <r>
      <rPr>
        <vertAlign val="superscript"/>
        <sz val="11"/>
        <color indexed="8"/>
        <rFont val="Calibri Light"/>
        <family val="2"/>
      </rPr>
      <t>3</t>
    </r>
  </si>
  <si>
    <r>
      <t>0.036 m</t>
    </r>
    <r>
      <rPr>
        <vertAlign val="superscript"/>
        <sz val="11"/>
        <color indexed="8"/>
        <rFont val="Calibri Light"/>
        <family val="2"/>
      </rPr>
      <t>3</t>
    </r>
    <r>
      <rPr>
        <sz val="11"/>
        <color indexed="8"/>
        <rFont val="Calibri Light"/>
        <family val="2"/>
      </rPr>
      <t> </t>
    </r>
  </si>
  <si>
    <r>
      <t>0.063 m</t>
    </r>
    <r>
      <rPr>
        <vertAlign val="superscript"/>
        <sz val="11"/>
        <color indexed="8"/>
        <rFont val="Calibri Light"/>
        <family val="2"/>
      </rPr>
      <t>3</t>
    </r>
  </si>
  <si>
    <r>
      <t>0.002 m</t>
    </r>
    <r>
      <rPr>
        <vertAlign val="superscript"/>
        <sz val="11"/>
        <color indexed="8"/>
        <rFont val="Calibri Light"/>
        <family val="2"/>
      </rPr>
      <t>3</t>
    </r>
  </si>
  <si>
    <r>
      <t>0.025 m</t>
    </r>
    <r>
      <rPr>
        <vertAlign val="superscript"/>
        <sz val="11"/>
        <color indexed="8"/>
        <rFont val="Calibri Light"/>
        <family val="2"/>
      </rPr>
      <t>3</t>
    </r>
  </si>
  <si>
    <r>
      <t>0.0008 m</t>
    </r>
    <r>
      <rPr>
        <vertAlign val="superscript"/>
        <sz val="11"/>
        <color indexed="8"/>
        <rFont val="Calibri Light"/>
        <family val="2"/>
      </rPr>
      <t>3</t>
    </r>
  </si>
  <si>
    <r>
      <t>0.29 m</t>
    </r>
    <r>
      <rPr>
        <vertAlign val="superscript"/>
        <sz val="11"/>
        <color indexed="8"/>
        <rFont val="Calibri Light"/>
        <family val="2"/>
      </rPr>
      <t>3</t>
    </r>
    <r>
      <rPr>
        <sz val="11"/>
        <color indexed="8"/>
        <rFont val="Calibri Light"/>
        <family val="2"/>
      </rPr>
      <t> </t>
    </r>
  </si>
  <si>
    <r>
      <t>0.079 m</t>
    </r>
    <r>
      <rPr>
        <vertAlign val="superscript"/>
        <sz val="11"/>
        <color indexed="8"/>
        <rFont val="Calibri Light"/>
        <family val="2"/>
      </rPr>
      <t>3</t>
    </r>
    <r>
      <rPr>
        <sz val="11"/>
        <color indexed="8"/>
        <rFont val="Calibri Light"/>
        <family val="2"/>
      </rPr>
      <t> </t>
    </r>
  </si>
  <si>
    <r>
      <t>0.0026 m</t>
    </r>
    <r>
      <rPr>
        <vertAlign val="superscript"/>
        <sz val="11"/>
        <color indexed="8"/>
        <rFont val="Calibri Light"/>
        <family val="2"/>
      </rPr>
      <t>3</t>
    </r>
    <r>
      <rPr>
        <sz val="11"/>
        <color indexed="8"/>
        <rFont val="Calibri Light"/>
        <family val="2"/>
      </rPr>
      <t> </t>
    </r>
  </si>
  <si>
    <r>
      <t>of 6-10 m, below 20 kN/m</t>
    </r>
    <r>
      <rPr>
        <vertAlign val="superscript"/>
        <sz val="11"/>
        <color indexed="8"/>
        <rFont val="Calibri Light"/>
        <family val="2"/>
      </rPr>
      <t>2</t>
    </r>
    <r>
      <rPr>
        <sz val="11"/>
        <color indexed="8"/>
        <rFont val="Calibri Light"/>
        <family val="2"/>
      </rPr>
      <t> </t>
    </r>
  </si>
  <si>
    <r>
      <t>0.0048 m</t>
    </r>
    <r>
      <rPr>
        <vertAlign val="superscript"/>
        <sz val="11"/>
        <color indexed="8"/>
        <rFont val="Calibri Light"/>
        <family val="2"/>
      </rPr>
      <t>3</t>
    </r>
  </si>
  <si>
    <r>
      <t>0.0041 m</t>
    </r>
    <r>
      <rPr>
        <vertAlign val="superscript"/>
        <sz val="11"/>
        <color indexed="8"/>
        <rFont val="Calibri Light"/>
        <family val="2"/>
      </rPr>
      <t>3</t>
    </r>
    <r>
      <rPr>
        <sz val="11"/>
        <color indexed="8"/>
        <rFont val="Calibri Light"/>
        <family val="2"/>
      </rPr>
      <t> </t>
    </r>
  </si>
  <si>
    <r>
      <t>capacity range of 5-12 kN/m</t>
    </r>
    <r>
      <rPr>
        <vertAlign val="superscript"/>
        <sz val="11"/>
        <color indexed="8"/>
        <rFont val="Calibri Light"/>
        <family val="2"/>
      </rPr>
      <t>2</t>
    </r>
  </si>
  <si>
    <r>
      <t>0.067 m</t>
    </r>
    <r>
      <rPr>
        <vertAlign val="superscript"/>
        <sz val="11"/>
        <color indexed="8"/>
        <rFont val="Calibri Light"/>
        <family val="2"/>
      </rPr>
      <t>3</t>
    </r>
  </si>
  <si>
    <r>
      <t>0.0011 m</t>
    </r>
    <r>
      <rPr>
        <vertAlign val="superscript"/>
        <sz val="11"/>
        <color indexed="8"/>
        <rFont val="Calibri Light"/>
        <family val="2"/>
      </rPr>
      <t>3</t>
    </r>
  </si>
  <si>
    <r>
      <t>PERI system formwork</t>
    </r>
    <r>
      <rPr>
        <sz val="11"/>
        <color indexed="8"/>
        <rFont val="Calibri Light"/>
        <family val="2"/>
      </rPr>
      <t> (support included)</t>
    </r>
  </si>
  <si>
    <r>
      <t>PERI-RINGER system formwork</t>
    </r>
    <r>
      <rPr>
        <sz val="11"/>
        <color indexed="8"/>
        <rFont val="Calibri Light"/>
        <family val="2"/>
      </rPr>
      <t> (support included)</t>
    </r>
  </si>
  <si>
    <r>
      <t>SZABOLCS system metal formwork</t>
    </r>
    <r>
      <rPr>
        <sz val="11"/>
        <color indexed="8"/>
        <rFont val="Calibri Light"/>
        <family val="2"/>
      </rPr>
      <t> (support included)</t>
    </r>
  </si>
  <si>
    <r>
      <t>DOKA system formwork</t>
    </r>
    <r>
      <rPr>
        <sz val="11"/>
        <color indexed="8"/>
        <rFont val="Calibri Light"/>
        <family val="2"/>
      </rPr>
      <t> (support included)</t>
    </r>
  </si>
  <si>
    <r>
      <t>SCAN-FORM rsystem formwork</t>
    </r>
    <r>
      <rPr>
        <sz val="11"/>
        <color indexed="8"/>
        <rFont val="Calibri Light"/>
        <family val="2"/>
      </rPr>
      <t> (support included)</t>
    </r>
  </si>
  <si>
    <r>
      <t>0.029 m</t>
    </r>
    <r>
      <rPr>
        <vertAlign val="superscript"/>
        <sz val="11"/>
        <color indexed="8"/>
        <rFont val="Calibri Light"/>
        <family val="2"/>
      </rPr>
      <t>3</t>
    </r>
    <r>
      <rPr>
        <sz val="11"/>
        <color indexed="8"/>
        <rFont val="Calibri Light"/>
        <family val="2"/>
      </rPr>
      <t> </t>
    </r>
  </si>
  <si>
    <r>
      <t>0.0049 m</t>
    </r>
    <r>
      <rPr>
        <vertAlign val="superscript"/>
        <sz val="11"/>
        <color indexed="8"/>
        <rFont val="Calibri Light"/>
        <family val="2"/>
      </rPr>
      <t>3</t>
    </r>
    <r>
      <rPr>
        <sz val="11"/>
        <color indexed="8"/>
        <rFont val="Calibri Light"/>
        <family val="2"/>
      </rPr>
      <t> </t>
    </r>
  </si>
  <si>
    <r>
      <t>0.0143 m</t>
    </r>
    <r>
      <rPr>
        <vertAlign val="superscript"/>
        <sz val="11"/>
        <color indexed="8"/>
        <rFont val="Calibri Light"/>
        <family val="2"/>
      </rPr>
      <t>3</t>
    </r>
  </si>
  <si>
    <r>
      <t>0.0014 m</t>
    </r>
    <r>
      <rPr>
        <vertAlign val="superscript"/>
        <sz val="11"/>
        <color indexed="8"/>
        <rFont val="Calibri Light"/>
        <family val="2"/>
      </rPr>
      <t>3</t>
    </r>
  </si>
  <si>
    <r>
      <t>0.0366 m</t>
    </r>
    <r>
      <rPr>
        <vertAlign val="superscript"/>
        <sz val="11"/>
        <color indexed="8"/>
        <rFont val="Calibri Light"/>
        <family val="2"/>
      </rPr>
      <t>3</t>
    </r>
    <r>
      <rPr>
        <sz val="11"/>
        <color indexed="8"/>
        <rFont val="Calibri Light"/>
        <family val="2"/>
      </rPr>
      <t> </t>
    </r>
  </si>
  <si>
    <r>
      <t>0.0061 m</t>
    </r>
    <r>
      <rPr>
        <vertAlign val="superscript"/>
        <sz val="11"/>
        <color indexed="8"/>
        <rFont val="Calibri Light"/>
        <family val="2"/>
      </rPr>
      <t>3</t>
    </r>
    <r>
      <rPr>
        <sz val="11"/>
        <color indexed="8"/>
        <rFont val="Calibri Light"/>
        <family val="2"/>
      </rPr>
      <t> </t>
    </r>
  </si>
  <si>
    <r>
      <t>0.0044 m</t>
    </r>
    <r>
      <rPr>
        <vertAlign val="superscript"/>
        <sz val="11"/>
        <color indexed="8"/>
        <rFont val="Calibri Light"/>
        <family val="2"/>
      </rPr>
      <t>3</t>
    </r>
    <r>
      <rPr>
        <sz val="11"/>
        <color indexed="8"/>
        <rFont val="Calibri Light"/>
        <family val="2"/>
      </rPr>
      <t> </t>
    </r>
  </si>
  <si>
    <r>
      <t>0.0004 m</t>
    </r>
    <r>
      <rPr>
        <vertAlign val="superscript"/>
        <sz val="11"/>
        <color indexed="8"/>
        <rFont val="Calibri Light"/>
        <family val="2"/>
      </rPr>
      <t>3</t>
    </r>
    <r>
      <rPr>
        <sz val="11"/>
        <color indexed="8"/>
        <rFont val="Calibri Light"/>
        <family val="2"/>
      </rPr>
      <t> </t>
    </r>
  </si>
  <si>
    <r>
      <t>0.0018 m</t>
    </r>
    <r>
      <rPr>
        <vertAlign val="superscript"/>
        <sz val="11"/>
        <color indexed="8"/>
        <rFont val="Calibri Light"/>
        <family val="2"/>
      </rPr>
      <t>3</t>
    </r>
  </si>
  <si>
    <r>
      <t>0.0282 m</t>
    </r>
    <r>
      <rPr>
        <vertAlign val="superscript"/>
        <sz val="11"/>
        <color indexed="8"/>
        <rFont val="Calibri Light"/>
        <family val="2"/>
      </rPr>
      <t>3</t>
    </r>
    <r>
      <rPr>
        <sz val="11"/>
        <color indexed="8"/>
        <rFont val="Calibri Light"/>
        <family val="2"/>
      </rPr>
      <t> </t>
    </r>
  </si>
  <si>
    <r>
      <t>0.0048 m</t>
    </r>
    <r>
      <rPr>
        <vertAlign val="superscript"/>
        <sz val="11"/>
        <color indexed="8"/>
        <rFont val="Calibri Light"/>
        <family val="2"/>
      </rPr>
      <t>3</t>
    </r>
    <r>
      <rPr>
        <sz val="11"/>
        <color indexed="8"/>
        <rFont val="Calibri Light"/>
        <family val="2"/>
      </rPr>
      <t> </t>
    </r>
  </si>
  <si>
    <r>
      <t>0.0111 m</t>
    </r>
    <r>
      <rPr>
        <vertAlign val="superscript"/>
        <sz val="11"/>
        <color indexed="8"/>
        <rFont val="Calibri Light"/>
        <family val="2"/>
      </rPr>
      <t>3</t>
    </r>
    <r>
      <rPr>
        <sz val="11"/>
        <color indexed="8"/>
        <rFont val="Calibri Light"/>
        <family val="2"/>
      </rPr>
      <t> </t>
    </r>
  </si>
  <si>
    <r>
      <t>0.0011 m</t>
    </r>
    <r>
      <rPr>
        <vertAlign val="superscript"/>
        <sz val="11"/>
        <color indexed="8"/>
        <rFont val="Calibri Light"/>
        <family val="2"/>
      </rPr>
      <t>3</t>
    </r>
    <r>
      <rPr>
        <sz val="11"/>
        <color indexed="8"/>
        <rFont val="Calibri Light"/>
        <family val="2"/>
      </rPr>
      <t> </t>
    </r>
  </si>
  <si>
    <r>
      <t>0.0193 m</t>
    </r>
    <r>
      <rPr>
        <vertAlign val="superscript"/>
        <sz val="11"/>
        <color indexed="8"/>
        <rFont val="Calibri Light"/>
        <family val="2"/>
      </rPr>
      <t>3</t>
    </r>
    <r>
      <rPr>
        <sz val="11"/>
        <color indexed="8"/>
        <rFont val="Calibri Light"/>
        <family val="2"/>
      </rPr>
      <t> </t>
    </r>
  </si>
  <si>
    <r>
      <t>0.0128 m</t>
    </r>
    <r>
      <rPr>
        <vertAlign val="superscript"/>
        <sz val="11"/>
        <color indexed="8"/>
        <rFont val="Calibri Light"/>
        <family val="2"/>
      </rPr>
      <t>3</t>
    </r>
  </si>
  <si>
    <r>
      <t>0.0006 m</t>
    </r>
    <r>
      <rPr>
        <vertAlign val="superscript"/>
        <sz val="11"/>
        <color indexed="8"/>
        <rFont val="Calibri Light"/>
        <family val="2"/>
      </rPr>
      <t>3</t>
    </r>
  </si>
  <si>
    <r>
      <t>0.0053 m</t>
    </r>
    <r>
      <rPr>
        <vertAlign val="superscript"/>
        <sz val="11"/>
        <color indexed="8"/>
        <rFont val="Calibri Light"/>
        <family val="2"/>
      </rPr>
      <t>3</t>
    </r>
    <r>
      <rPr>
        <sz val="11"/>
        <color indexed="8"/>
        <rFont val="Calibri Light"/>
        <family val="2"/>
      </rPr>
      <t> </t>
    </r>
  </si>
  <si>
    <r>
      <t>0.044 m</t>
    </r>
    <r>
      <rPr>
        <vertAlign val="superscript"/>
        <sz val="11"/>
        <color indexed="8"/>
        <rFont val="Calibri Light"/>
        <family val="2"/>
      </rPr>
      <t>3</t>
    </r>
    <r>
      <rPr>
        <sz val="11"/>
        <color indexed="8"/>
        <rFont val="Calibri Light"/>
        <family val="2"/>
      </rPr>
      <t> </t>
    </r>
  </si>
  <si>
    <r>
      <t>0.0033 m</t>
    </r>
    <r>
      <rPr>
        <vertAlign val="superscript"/>
        <sz val="11"/>
        <color indexed="8"/>
        <rFont val="Calibri Light"/>
        <family val="2"/>
      </rPr>
      <t>3</t>
    </r>
    <r>
      <rPr>
        <sz val="11"/>
        <color indexed="8"/>
        <rFont val="Calibri Light"/>
        <family val="2"/>
      </rPr>
      <t> </t>
    </r>
  </si>
  <si>
    <r>
      <t>0.0182 m</t>
    </r>
    <r>
      <rPr>
        <vertAlign val="superscript"/>
        <sz val="11"/>
        <color indexed="8"/>
        <rFont val="Calibri Light"/>
        <family val="2"/>
      </rPr>
      <t>3</t>
    </r>
  </si>
  <si>
    <r>
      <t>0.042 m</t>
    </r>
    <r>
      <rPr>
        <vertAlign val="superscript"/>
        <sz val="11"/>
        <color indexed="8"/>
        <rFont val="Calibri Light"/>
        <family val="2"/>
      </rPr>
      <t>3</t>
    </r>
    <r>
      <rPr>
        <sz val="11"/>
        <color indexed="8"/>
        <rFont val="Calibri Light"/>
        <family val="2"/>
      </rPr>
      <t> </t>
    </r>
  </si>
  <si>
    <r>
      <t>0.007 m</t>
    </r>
    <r>
      <rPr>
        <vertAlign val="superscript"/>
        <sz val="11"/>
        <color indexed="8"/>
        <rFont val="Calibri Light"/>
        <family val="2"/>
      </rPr>
      <t>3</t>
    </r>
    <r>
      <rPr>
        <sz val="11"/>
        <color indexed="8"/>
        <rFont val="Calibri Light"/>
        <family val="2"/>
      </rPr>
      <t> </t>
    </r>
  </si>
  <si>
    <r>
      <t>0.0251 m</t>
    </r>
    <r>
      <rPr>
        <vertAlign val="superscript"/>
        <sz val="11"/>
        <color indexed="8"/>
        <rFont val="Calibri Light"/>
        <family val="2"/>
      </rPr>
      <t>3</t>
    </r>
  </si>
  <si>
    <r>
      <t>0.0025 m</t>
    </r>
    <r>
      <rPr>
        <vertAlign val="superscript"/>
        <sz val="11"/>
        <color indexed="8"/>
        <rFont val="Calibri Light"/>
        <family val="2"/>
      </rPr>
      <t>3</t>
    </r>
  </si>
  <si>
    <r>
      <t>0.0098 m</t>
    </r>
    <r>
      <rPr>
        <vertAlign val="superscript"/>
        <sz val="11"/>
        <color indexed="8"/>
        <rFont val="Calibri Light"/>
        <family val="2"/>
      </rPr>
      <t>3</t>
    </r>
    <r>
      <rPr>
        <sz val="11"/>
        <color indexed="8"/>
        <rFont val="Calibri Light"/>
        <family val="2"/>
      </rPr>
      <t> </t>
    </r>
  </si>
  <si>
    <r>
      <t>0.027 m</t>
    </r>
    <r>
      <rPr>
        <vertAlign val="superscript"/>
        <sz val="11"/>
        <color indexed="8"/>
        <rFont val="Calibri Light"/>
        <family val="2"/>
      </rPr>
      <t>3</t>
    </r>
  </si>
  <si>
    <r>
      <t>0.0092 m</t>
    </r>
    <r>
      <rPr>
        <vertAlign val="superscript"/>
        <sz val="11"/>
        <color indexed="8"/>
        <rFont val="Calibri Light"/>
        <family val="2"/>
      </rPr>
      <t>3</t>
    </r>
    <r>
      <rPr>
        <sz val="11"/>
        <color indexed="8"/>
        <rFont val="Calibri Light"/>
        <family val="2"/>
      </rPr>
      <t> </t>
    </r>
  </si>
  <si>
    <r>
      <t>0.0515 m</t>
    </r>
    <r>
      <rPr>
        <vertAlign val="superscript"/>
        <sz val="11"/>
        <color indexed="8"/>
        <rFont val="Calibri Light"/>
        <family val="2"/>
      </rPr>
      <t>3</t>
    </r>
    <r>
      <rPr>
        <sz val="11"/>
        <color indexed="8"/>
        <rFont val="Calibri Light"/>
        <family val="2"/>
      </rPr>
      <t> </t>
    </r>
  </si>
  <si>
    <r>
      <t>0.0086 m</t>
    </r>
    <r>
      <rPr>
        <vertAlign val="superscript"/>
        <sz val="11"/>
        <color indexed="8"/>
        <rFont val="Calibri Light"/>
        <family val="2"/>
      </rPr>
      <t>3</t>
    </r>
    <r>
      <rPr>
        <sz val="11"/>
        <color indexed="8"/>
        <rFont val="Calibri Light"/>
        <family val="2"/>
      </rPr>
      <t> </t>
    </r>
  </si>
  <si>
    <r>
      <t>0.0335 m</t>
    </r>
    <r>
      <rPr>
        <vertAlign val="superscript"/>
        <sz val="11"/>
        <color indexed="8"/>
        <rFont val="Calibri Light"/>
        <family val="2"/>
      </rPr>
      <t>3</t>
    </r>
    <r>
      <rPr>
        <sz val="11"/>
        <color indexed="8"/>
        <rFont val="Calibri Light"/>
        <family val="2"/>
      </rPr>
      <t> </t>
    </r>
  </si>
  <si>
    <r>
      <t>0.045 m</t>
    </r>
    <r>
      <rPr>
        <vertAlign val="superscript"/>
        <sz val="11"/>
        <color indexed="8"/>
        <rFont val="Calibri Light"/>
        <family val="2"/>
      </rPr>
      <t>3</t>
    </r>
    <r>
      <rPr>
        <sz val="11"/>
        <color indexed="8"/>
        <rFont val="Calibri Light"/>
        <family val="2"/>
      </rPr>
      <t> </t>
    </r>
  </si>
  <si>
    <r>
      <t>0.0154 m</t>
    </r>
    <r>
      <rPr>
        <vertAlign val="superscript"/>
        <sz val="11"/>
        <color indexed="8"/>
        <rFont val="Calibri Light"/>
        <family val="2"/>
      </rPr>
      <t>3</t>
    </r>
  </si>
  <si>
    <r>
      <t>0.008 m</t>
    </r>
    <r>
      <rPr>
        <vertAlign val="superscript"/>
        <sz val="11"/>
        <color indexed="8"/>
        <rFont val="Calibri Light"/>
        <family val="2"/>
      </rPr>
      <t>3</t>
    </r>
  </si>
  <si>
    <r>
      <t>0.0078 m</t>
    </r>
    <r>
      <rPr>
        <vertAlign val="superscript"/>
        <sz val="11"/>
        <color indexed="8"/>
        <rFont val="Calibri Light"/>
        <family val="2"/>
      </rPr>
      <t>3</t>
    </r>
    <r>
      <rPr>
        <sz val="11"/>
        <color indexed="8"/>
        <rFont val="Calibri Light"/>
        <family val="2"/>
      </rPr>
      <t> </t>
    </r>
  </si>
  <si>
    <r>
      <t>0.0335 m</t>
    </r>
    <r>
      <rPr>
        <vertAlign val="superscript"/>
        <sz val="11"/>
        <color indexed="8"/>
        <rFont val="Calibri Light"/>
        <family val="2"/>
      </rPr>
      <t>3</t>
    </r>
  </si>
  <si>
    <r>
      <t>0.0034 m</t>
    </r>
    <r>
      <rPr>
        <vertAlign val="superscript"/>
        <sz val="11"/>
        <color indexed="8"/>
        <rFont val="Calibri Light"/>
        <family val="2"/>
      </rPr>
      <t>3</t>
    </r>
  </si>
  <si>
    <r>
      <t>0.0066 m</t>
    </r>
    <r>
      <rPr>
        <vertAlign val="superscript"/>
        <sz val="11"/>
        <color indexed="8"/>
        <rFont val="Calibri Light"/>
        <family val="2"/>
      </rPr>
      <t>3</t>
    </r>
    <r>
      <rPr>
        <sz val="11"/>
        <color indexed="8"/>
        <rFont val="Calibri Light"/>
        <family val="2"/>
      </rPr>
      <t> </t>
    </r>
  </si>
  <si>
    <r>
      <t>0.019 m</t>
    </r>
    <r>
      <rPr>
        <vertAlign val="superscript"/>
        <sz val="11"/>
        <color indexed="8"/>
        <rFont val="Calibri Light"/>
        <family val="2"/>
      </rPr>
      <t>3</t>
    </r>
    <r>
      <rPr>
        <sz val="11"/>
        <color indexed="8"/>
        <rFont val="Calibri Light"/>
        <family val="2"/>
      </rPr>
      <t> </t>
    </r>
  </si>
  <si>
    <r>
      <t>0.032 m</t>
    </r>
    <r>
      <rPr>
        <vertAlign val="superscript"/>
        <sz val="11"/>
        <color indexed="8"/>
        <rFont val="Calibri Light"/>
        <family val="2"/>
      </rPr>
      <t>3</t>
    </r>
    <r>
      <rPr>
        <sz val="11"/>
        <color indexed="8"/>
        <rFont val="Calibri Light"/>
        <family val="2"/>
      </rPr>
      <t> </t>
    </r>
  </si>
  <si>
    <r>
      <t>0.0075 m</t>
    </r>
    <r>
      <rPr>
        <vertAlign val="superscript"/>
        <sz val="11"/>
        <color indexed="8"/>
        <rFont val="Calibri Light"/>
        <family val="2"/>
      </rPr>
      <t>3</t>
    </r>
    <r>
      <rPr>
        <sz val="11"/>
        <color indexed="8"/>
        <rFont val="Calibri Light"/>
        <family val="2"/>
      </rPr>
      <t> </t>
    </r>
  </si>
  <si>
    <r>
      <t>0.0311 m</t>
    </r>
    <r>
      <rPr>
        <vertAlign val="superscript"/>
        <sz val="11"/>
        <color indexed="8"/>
        <rFont val="Calibri Light"/>
        <family val="2"/>
      </rPr>
      <t>3</t>
    </r>
  </si>
  <si>
    <r>
      <t>0.0031 m</t>
    </r>
    <r>
      <rPr>
        <vertAlign val="superscript"/>
        <sz val="11"/>
        <color indexed="8"/>
        <rFont val="Calibri Light"/>
        <family val="2"/>
      </rPr>
      <t>3</t>
    </r>
  </si>
  <si>
    <r>
      <t>0.0056 m</t>
    </r>
    <r>
      <rPr>
        <vertAlign val="superscript"/>
        <sz val="11"/>
        <color indexed="8"/>
        <rFont val="Calibri Light"/>
        <family val="2"/>
      </rPr>
      <t>3</t>
    </r>
    <r>
      <rPr>
        <sz val="11"/>
        <color indexed="8"/>
        <rFont val="Calibri Light"/>
        <family val="2"/>
      </rPr>
      <t> </t>
    </r>
  </si>
  <si>
    <r>
      <t>0.0101 m</t>
    </r>
    <r>
      <rPr>
        <vertAlign val="superscript"/>
        <sz val="11"/>
        <color indexed="8"/>
        <rFont val="Calibri Light"/>
        <family val="2"/>
      </rPr>
      <t>3</t>
    </r>
    <r>
      <rPr>
        <sz val="11"/>
        <color indexed="8"/>
        <rFont val="Calibri Light"/>
        <family val="2"/>
      </rPr>
      <t> </t>
    </r>
  </si>
  <si>
    <r>
      <t>0.066 m</t>
    </r>
    <r>
      <rPr>
        <vertAlign val="superscript"/>
        <sz val="11"/>
        <color indexed="8"/>
        <rFont val="Calibri Light"/>
        <family val="2"/>
      </rPr>
      <t>3</t>
    </r>
    <r>
      <rPr>
        <sz val="11"/>
        <color indexed="8"/>
        <rFont val="Calibri Light"/>
        <family val="2"/>
      </rPr>
      <t> </t>
    </r>
  </si>
  <si>
    <r>
      <t>0.011 m</t>
    </r>
    <r>
      <rPr>
        <vertAlign val="superscript"/>
        <sz val="11"/>
        <color indexed="8"/>
        <rFont val="Calibri Light"/>
        <family val="2"/>
      </rPr>
      <t>3</t>
    </r>
    <r>
      <rPr>
        <sz val="11"/>
        <color indexed="8"/>
        <rFont val="Calibri Light"/>
        <family val="2"/>
      </rPr>
      <t> </t>
    </r>
  </si>
  <si>
    <r>
      <t>0.008 m</t>
    </r>
    <r>
      <rPr>
        <vertAlign val="superscript"/>
        <sz val="11"/>
        <color indexed="8"/>
        <rFont val="Calibri Light"/>
        <family val="2"/>
      </rPr>
      <t>3</t>
    </r>
    <r>
      <rPr>
        <sz val="11"/>
        <color indexed="8"/>
        <rFont val="Calibri Light"/>
        <family val="2"/>
      </rPr>
      <t> </t>
    </r>
  </si>
  <si>
    <r>
      <t>0.006 m</t>
    </r>
    <r>
      <rPr>
        <vertAlign val="superscript"/>
        <sz val="11"/>
        <color indexed="8"/>
        <rFont val="Calibri Light"/>
        <family val="2"/>
      </rPr>
      <t>3</t>
    </r>
    <r>
      <rPr>
        <sz val="11"/>
        <color indexed="8"/>
        <rFont val="Calibri Light"/>
        <family val="2"/>
      </rPr>
      <t> </t>
    </r>
  </si>
  <si>
    <r>
      <t>(woodwork: 0,03 m</t>
    </r>
    <r>
      <rPr>
        <vertAlign val="superscript"/>
        <sz val="11"/>
        <color indexed="8"/>
        <rFont val="Calibri Light"/>
        <family val="2"/>
      </rPr>
      <t>3</t>
    </r>
    <r>
      <rPr>
        <sz val="11"/>
        <color indexed="8"/>
        <rFont val="Calibri Light"/>
        <family val="2"/>
      </rPr>
      <t>/floor m</t>
    </r>
    <r>
      <rPr>
        <vertAlign val="superscript"/>
        <sz val="11"/>
        <color indexed="8"/>
        <rFont val="Calibri Light"/>
        <family val="2"/>
      </rPr>
      <t>2</t>
    </r>
    <r>
      <rPr>
        <sz val="11"/>
        <color indexed="8"/>
        <rFont val="Calibri Light"/>
        <family val="2"/>
      </rPr>
      <t>)</t>
    </r>
  </si>
  <si>
    <r>
      <t>0.0232 m</t>
    </r>
    <r>
      <rPr>
        <vertAlign val="superscript"/>
        <sz val="11"/>
        <color indexed="8"/>
        <rFont val="Calibri Light"/>
        <family val="2"/>
      </rPr>
      <t>3</t>
    </r>
    <r>
      <rPr>
        <sz val="11"/>
        <color indexed="8"/>
        <rFont val="Calibri Light"/>
        <family val="2"/>
      </rPr>
      <t> </t>
    </r>
  </si>
  <si>
    <r>
      <t>0.0026 m</t>
    </r>
    <r>
      <rPr>
        <vertAlign val="superscript"/>
        <sz val="11"/>
        <color indexed="8"/>
        <rFont val="Calibri Light"/>
        <family val="2"/>
      </rPr>
      <t>3</t>
    </r>
  </si>
  <si>
    <r>
      <t>or 0.0074 m</t>
    </r>
    <r>
      <rPr>
        <vertAlign val="superscript"/>
        <sz val="11"/>
        <color indexed="8"/>
        <rFont val="Calibri Light"/>
        <family val="2"/>
      </rPr>
      <t>3</t>
    </r>
    <r>
      <rPr>
        <sz val="11"/>
        <color indexed="8"/>
        <rFont val="Calibri Light"/>
        <family val="2"/>
      </rPr>
      <t> </t>
    </r>
  </si>
  <si>
    <r>
      <t>or 0.0253 m</t>
    </r>
    <r>
      <rPr>
        <vertAlign val="superscript"/>
        <sz val="11"/>
        <color indexed="8"/>
        <rFont val="Calibri Light"/>
        <family val="2"/>
      </rPr>
      <t>3</t>
    </r>
  </si>
  <si>
    <r>
      <t>C</t>
    </r>
    <r>
      <rPr>
        <sz val="11"/>
        <color indexed="8"/>
        <rFont val="Calibri Light"/>
        <family val="2"/>
      </rPr>
      <t>orrugated </t>
    </r>
    <r>
      <rPr>
        <u val="single"/>
        <sz val="11"/>
        <color indexed="8"/>
        <rFont val="Calibri Light"/>
        <family val="2"/>
      </rPr>
      <t>a</t>
    </r>
    <r>
      <rPr>
        <sz val="11"/>
        <color indexed="8"/>
        <rFont val="Calibri Light"/>
        <family val="2"/>
      </rPr>
      <t>sbestos </t>
    </r>
    <r>
      <rPr>
        <u val="single"/>
        <sz val="11"/>
        <color indexed="8"/>
        <rFont val="Calibri Light"/>
        <family val="2"/>
      </rPr>
      <t>s</t>
    </r>
    <r>
      <rPr>
        <sz val="11"/>
        <color indexed="8"/>
        <rFont val="Calibri Light"/>
        <family val="2"/>
      </rPr>
      <t>heet, 1/2 period  </t>
    </r>
  </si>
  <si>
    <r>
      <t>250x100 cm </t>
    </r>
    <r>
      <rPr>
        <u val="single"/>
        <sz val="11"/>
        <color indexed="8"/>
        <rFont val="Calibri Light"/>
        <family val="2"/>
      </rPr>
      <t>Cas</t>
    </r>
    <r>
      <rPr>
        <sz val="11"/>
        <color indexed="8"/>
        <rFont val="Calibri Light"/>
        <family val="2"/>
      </rPr>
      <t> </t>
    </r>
  </si>
  <si>
    <r>
      <t>160x110 cm </t>
    </r>
    <r>
      <rPr>
        <u val="single"/>
        <sz val="11"/>
        <color indexed="8"/>
        <rFont val="Calibri Light"/>
        <family val="2"/>
      </rPr>
      <t>Cas</t>
    </r>
  </si>
  <si>
    <r>
      <t>C</t>
    </r>
    <r>
      <rPr>
        <sz val="11"/>
        <color indexed="8"/>
        <rFont val="Calibri Light"/>
        <family val="2"/>
      </rPr>
      <t>orrugated </t>
    </r>
    <r>
      <rPr>
        <u val="single"/>
        <sz val="11"/>
        <color indexed="8"/>
        <rFont val="Calibri Light"/>
        <family val="2"/>
      </rPr>
      <t>p</t>
    </r>
    <r>
      <rPr>
        <sz val="11"/>
        <color indexed="8"/>
        <rFont val="Calibri Light"/>
        <family val="2"/>
      </rPr>
      <t>olyester </t>
    </r>
    <r>
      <rPr>
        <u val="single"/>
        <sz val="11"/>
        <color indexed="8"/>
        <rFont val="Calibri Light"/>
        <family val="2"/>
      </rPr>
      <t>s</t>
    </r>
    <r>
      <rPr>
        <sz val="11"/>
        <color indexed="8"/>
        <rFont val="Calibri Light"/>
        <family val="2"/>
      </rPr>
      <t>heet 1/1 period  </t>
    </r>
  </si>
  <si>
    <r>
      <t>206x80 cm </t>
    </r>
    <r>
      <rPr>
        <u val="single"/>
        <sz val="11"/>
        <color indexed="8"/>
        <rFont val="Calibri Light"/>
        <family val="2"/>
      </rPr>
      <t>Cps</t>
    </r>
  </si>
  <si>
    <r>
      <t>113 m</t>
    </r>
    <r>
      <rPr>
        <vertAlign val="superscript"/>
        <sz val="11"/>
        <color indexed="8"/>
        <rFont val="Calibri Light"/>
        <family val="2"/>
      </rPr>
      <t>2</t>
    </r>
    <r>
      <rPr>
        <sz val="11"/>
        <color indexed="8"/>
        <rFont val="Calibri Light"/>
        <family val="2"/>
      </rPr>
      <t> </t>
    </r>
  </si>
  <si>
    <r>
      <t>226 m</t>
    </r>
    <r>
      <rPr>
        <vertAlign val="superscript"/>
        <sz val="11"/>
        <color indexed="8"/>
        <rFont val="Calibri Light"/>
        <family val="2"/>
      </rPr>
      <t>2</t>
    </r>
    <r>
      <rPr>
        <sz val="11"/>
        <color indexed="8"/>
        <rFont val="Calibri Light"/>
        <family val="2"/>
      </rPr>
      <t> </t>
    </r>
  </si>
  <si>
    <r>
      <t>115 m</t>
    </r>
    <r>
      <rPr>
        <vertAlign val="superscript"/>
        <sz val="11"/>
        <color indexed="8"/>
        <rFont val="Calibri Light"/>
        <family val="2"/>
      </rPr>
      <t>2</t>
    </r>
    <r>
      <rPr>
        <sz val="11"/>
        <color indexed="8"/>
        <rFont val="Calibri Light"/>
        <family val="2"/>
      </rPr>
      <t> </t>
    </r>
  </si>
  <si>
    <r>
      <t>122 m</t>
    </r>
    <r>
      <rPr>
        <vertAlign val="superscript"/>
        <sz val="11"/>
        <color indexed="8"/>
        <rFont val="Calibri Light"/>
        <family val="2"/>
      </rPr>
      <t>2</t>
    </r>
  </si>
  <si>
    <r>
      <t>1.15 m</t>
    </r>
    <r>
      <rPr>
        <vertAlign val="superscript"/>
        <sz val="11"/>
        <color indexed="8"/>
        <rFont val="Calibri Light"/>
        <family val="2"/>
      </rPr>
      <t>2</t>
    </r>
    <r>
      <rPr>
        <sz val="11"/>
        <color indexed="8"/>
        <rFont val="Calibri Light"/>
        <family val="2"/>
      </rPr>
      <t> </t>
    </r>
  </si>
  <si>
    <r>
      <t>1.03 m</t>
    </r>
    <r>
      <rPr>
        <vertAlign val="superscript"/>
        <sz val="11"/>
        <color indexed="8"/>
        <rFont val="Calibri Light"/>
        <family val="2"/>
      </rPr>
      <t>2</t>
    </r>
    <r>
      <rPr>
        <sz val="11"/>
        <color indexed="8"/>
        <rFont val="Calibri Light"/>
        <family val="2"/>
      </rPr>
      <t> </t>
    </r>
  </si>
  <si>
    <r>
      <t>perlite-concrete</t>
    </r>
    <r>
      <rPr>
        <vertAlign val="superscript"/>
        <sz val="11"/>
        <color indexed="8"/>
        <rFont val="Calibri Light"/>
        <family val="2"/>
      </rPr>
      <t>x</t>
    </r>
  </si>
  <si>
    <r>
      <t>2.06 m</t>
    </r>
    <r>
      <rPr>
        <vertAlign val="superscript"/>
        <sz val="11"/>
        <color indexed="8"/>
        <rFont val="Calibri Light"/>
        <family val="2"/>
      </rPr>
      <t>2</t>
    </r>
    <r>
      <rPr>
        <sz val="11"/>
        <color indexed="8"/>
        <rFont val="Calibri Light"/>
        <family val="2"/>
      </rPr>
      <t> </t>
    </r>
  </si>
  <si>
    <r>
      <t>1.07 m</t>
    </r>
    <r>
      <rPr>
        <vertAlign val="superscript"/>
        <sz val="11"/>
        <color indexed="8"/>
        <rFont val="Calibri Light"/>
        <family val="2"/>
      </rPr>
      <t>2</t>
    </r>
    <r>
      <rPr>
        <sz val="11"/>
        <color indexed="8"/>
        <rFont val="Calibri Light"/>
        <family val="2"/>
      </rPr>
      <t> </t>
    </r>
  </si>
  <si>
    <r>
      <t>50 m</t>
    </r>
    <r>
      <rPr>
        <vertAlign val="superscript"/>
        <sz val="11"/>
        <color indexed="8"/>
        <rFont val="Calibri Light"/>
        <family val="2"/>
      </rPr>
      <t>2</t>
    </r>
  </si>
  <si>
    <r>
      <t>230 m</t>
    </r>
    <r>
      <rPr>
        <vertAlign val="superscript"/>
        <sz val="11"/>
        <color indexed="8"/>
        <rFont val="Calibri Light"/>
        <family val="2"/>
      </rPr>
      <t>2</t>
    </r>
    <r>
      <rPr>
        <sz val="11"/>
        <color indexed="8"/>
        <rFont val="Calibri Light"/>
        <family val="2"/>
      </rPr>
      <t> </t>
    </r>
  </si>
  <si>
    <r>
      <t>345 m</t>
    </r>
    <r>
      <rPr>
        <vertAlign val="superscript"/>
        <sz val="11"/>
        <color indexed="8"/>
        <rFont val="Calibri Light"/>
        <family val="2"/>
      </rPr>
      <t>2</t>
    </r>
    <r>
      <rPr>
        <sz val="11"/>
        <color indexed="8"/>
        <rFont val="Calibri Light"/>
        <family val="2"/>
      </rPr>
      <t> </t>
    </r>
  </si>
  <si>
    <r>
      <t>460 m</t>
    </r>
    <r>
      <rPr>
        <vertAlign val="superscript"/>
        <sz val="11"/>
        <color indexed="8"/>
        <rFont val="Calibri Light"/>
        <family val="2"/>
      </rPr>
      <t>2</t>
    </r>
    <r>
      <rPr>
        <sz val="11"/>
        <color indexed="8"/>
        <rFont val="Calibri Light"/>
        <family val="2"/>
      </rPr>
      <t> </t>
    </r>
  </si>
  <si>
    <r>
      <t>concrete</t>
    </r>
    <r>
      <rPr>
        <vertAlign val="superscript"/>
        <sz val="11"/>
        <color indexed="8"/>
        <rFont val="Calibri Light"/>
        <family val="2"/>
      </rPr>
      <t>x</t>
    </r>
    <r>
      <rPr>
        <sz val="11"/>
        <color indexed="8"/>
        <rFont val="Calibri Light"/>
        <family val="2"/>
      </rPr>
      <t> </t>
    </r>
  </si>
  <si>
    <r>
      <t>mortar for rendering</t>
    </r>
    <r>
      <rPr>
        <vertAlign val="superscript"/>
        <sz val="11"/>
        <color indexed="8"/>
        <rFont val="Calibri Light"/>
        <family val="2"/>
      </rPr>
      <t>x</t>
    </r>
  </si>
  <si>
    <r>
      <t>0.007 m</t>
    </r>
    <r>
      <rPr>
        <vertAlign val="superscript"/>
        <sz val="11"/>
        <color indexed="8"/>
        <rFont val="Calibri Light"/>
        <family val="2"/>
      </rPr>
      <t>3</t>
    </r>
  </si>
  <si>
    <r>
      <t>mortar for floating</t>
    </r>
    <r>
      <rPr>
        <vertAlign val="superscript"/>
        <sz val="11"/>
        <color indexed="8"/>
        <rFont val="Calibri Light"/>
        <family val="2"/>
      </rPr>
      <t>x</t>
    </r>
  </si>
  <si>
    <r>
      <t>mortar for masonry</t>
    </r>
    <r>
      <rPr>
        <vertAlign val="superscript"/>
        <sz val="11"/>
        <color indexed="8"/>
        <rFont val="Calibri Light"/>
        <family val="2"/>
      </rPr>
      <t>x</t>
    </r>
  </si>
  <si>
    <r>
      <t>0.088 m</t>
    </r>
    <r>
      <rPr>
        <vertAlign val="superscript"/>
        <sz val="11"/>
        <color indexed="8"/>
        <rFont val="Calibri Light"/>
        <family val="2"/>
      </rPr>
      <t>3</t>
    </r>
    <r>
      <rPr>
        <sz val="11"/>
        <color indexed="8"/>
        <rFont val="Calibri Light"/>
        <family val="2"/>
      </rPr>
      <t> </t>
    </r>
  </si>
  <si>
    <r>
      <t>0.084 m</t>
    </r>
    <r>
      <rPr>
        <vertAlign val="superscript"/>
        <sz val="11"/>
        <color indexed="8"/>
        <rFont val="Calibri Light"/>
        <family val="2"/>
      </rPr>
      <t>3</t>
    </r>
  </si>
  <si>
    <r>
      <t>0.035 m</t>
    </r>
    <r>
      <rPr>
        <vertAlign val="superscript"/>
        <sz val="11"/>
        <color indexed="8"/>
        <rFont val="Calibri Light"/>
        <family val="2"/>
      </rPr>
      <t>3</t>
    </r>
    <r>
      <rPr>
        <sz val="11"/>
        <color indexed="8"/>
        <rFont val="Calibri Light"/>
        <family val="2"/>
      </rPr>
      <t> </t>
    </r>
  </si>
  <si>
    <r>
      <t>0.092 m</t>
    </r>
    <r>
      <rPr>
        <vertAlign val="superscript"/>
        <sz val="11"/>
        <color indexed="8"/>
        <rFont val="Calibri Light"/>
        <family val="2"/>
      </rPr>
      <t>3</t>
    </r>
    <r>
      <rPr>
        <sz val="11"/>
        <color indexed="8"/>
        <rFont val="Calibri Light"/>
        <family val="2"/>
      </rPr>
      <t> </t>
    </r>
  </si>
  <si>
    <r>
      <t>0.024 m</t>
    </r>
    <r>
      <rPr>
        <vertAlign val="superscript"/>
        <sz val="11"/>
        <color indexed="8"/>
        <rFont val="Calibri Light"/>
        <family val="2"/>
      </rPr>
      <t>3</t>
    </r>
  </si>
  <si>
    <r>
      <t>Masonry pieces and </t>
    </r>
    <r>
      <rPr>
        <i/>
        <sz val="11"/>
        <color indexed="8"/>
        <rFont val="Calibri Light"/>
        <family val="2"/>
      </rPr>
      <t>mortar</t>
    </r>
    <r>
      <rPr>
        <sz val="11"/>
        <color indexed="8"/>
        <rFont val="Calibri Light"/>
        <family val="2"/>
      </rPr>
      <t> needs</t>
    </r>
  </si>
  <si>
    <r>
      <t>0.211 m</t>
    </r>
    <r>
      <rPr>
        <i/>
        <vertAlign val="superscript"/>
        <sz val="11"/>
        <color indexed="8"/>
        <rFont val="Calibri Light"/>
        <family val="2"/>
      </rPr>
      <t>3</t>
    </r>
  </si>
  <si>
    <r>
      <t>0.182 m</t>
    </r>
    <r>
      <rPr>
        <i/>
        <vertAlign val="superscript"/>
        <sz val="11"/>
        <color indexed="8"/>
        <rFont val="Calibri Light"/>
        <family val="2"/>
      </rPr>
      <t>3</t>
    </r>
  </si>
  <si>
    <r>
      <t>0.149 m</t>
    </r>
    <r>
      <rPr>
        <i/>
        <vertAlign val="superscript"/>
        <sz val="11"/>
        <color indexed="8"/>
        <rFont val="Calibri Light"/>
        <family val="2"/>
      </rPr>
      <t>3</t>
    </r>
  </si>
  <si>
    <r>
      <t>0.121 m</t>
    </r>
    <r>
      <rPr>
        <i/>
        <vertAlign val="superscript"/>
        <sz val="11"/>
        <color indexed="8"/>
        <rFont val="Calibri Light"/>
        <family val="2"/>
      </rPr>
      <t>3</t>
    </r>
  </si>
  <si>
    <r>
      <t>1.0 m</t>
    </r>
    <r>
      <rPr>
        <vertAlign val="superscript"/>
        <sz val="11"/>
        <color indexed="8"/>
        <rFont val="Calibri Light"/>
        <family val="2"/>
      </rPr>
      <t>3</t>
    </r>
    <r>
      <rPr>
        <sz val="11"/>
        <color indexed="8"/>
        <rFont val="Calibri Light"/>
        <family val="2"/>
      </rPr>
      <t>rubblestone </t>
    </r>
  </si>
  <si>
    <r>
      <t>0.278 m</t>
    </r>
    <r>
      <rPr>
        <i/>
        <vertAlign val="superscript"/>
        <sz val="11"/>
        <color indexed="8"/>
        <rFont val="Calibri Light"/>
        <family val="2"/>
      </rPr>
      <t>3</t>
    </r>
  </si>
  <si>
    <r>
      <t>0.214 m</t>
    </r>
    <r>
      <rPr>
        <i/>
        <vertAlign val="superscript"/>
        <sz val="11"/>
        <color indexed="8"/>
        <rFont val="Calibri Light"/>
        <family val="2"/>
      </rPr>
      <t>3</t>
    </r>
  </si>
  <si>
    <r>
      <t>0.2 m</t>
    </r>
    <r>
      <rPr>
        <i/>
        <vertAlign val="superscript"/>
        <sz val="11"/>
        <color indexed="8"/>
        <rFont val="Calibri Light"/>
        <family val="2"/>
      </rPr>
      <t>3</t>
    </r>
  </si>
  <si>
    <r>
      <t>0.007 m</t>
    </r>
    <r>
      <rPr>
        <i/>
        <vertAlign val="superscript"/>
        <sz val="11"/>
        <color indexed="8"/>
        <rFont val="Calibri Light"/>
        <family val="2"/>
      </rPr>
      <t>3</t>
    </r>
  </si>
  <si>
    <r>
      <t>0.012 m</t>
    </r>
    <r>
      <rPr>
        <i/>
        <vertAlign val="superscript"/>
        <sz val="11"/>
        <color indexed="8"/>
        <rFont val="Calibri Light"/>
        <family val="2"/>
      </rPr>
      <t>3</t>
    </r>
  </si>
  <si>
    <r>
      <t>0.022 m</t>
    </r>
    <r>
      <rPr>
        <i/>
        <vertAlign val="superscript"/>
        <sz val="11"/>
        <color indexed="8"/>
        <rFont val="Calibri Light"/>
        <family val="2"/>
      </rPr>
      <t>3</t>
    </r>
  </si>
  <si>
    <r>
      <t>0.006 m</t>
    </r>
    <r>
      <rPr>
        <i/>
        <vertAlign val="superscript"/>
        <sz val="11"/>
        <color indexed="8"/>
        <rFont val="Calibri Light"/>
        <family val="2"/>
      </rPr>
      <t>3</t>
    </r>
  </si>
  <si>
    <r>
      <t>concrete</t>
    </r>
    <r>
      <rPr>
        <vertAlign val="superscript"/>
        <sz val="11"/>
        <color indexed="8"/>
        <rFont val="Calibri Light"/>
        <family val="2"/>
      </rPr>
      <t>x</t>
    </r>
  </si>
  <si>
    <r>
      <t>0.911 m</t>
    </r>
    <r>
      <rPr>
        <vertAlign val="superscript"/>
        <sz val="11"/>
        <color indexed="8"/>
        <rFont val="Calibri Light"/>
        <family val="2"/>
      </rPr>
      <t>2</t>
    </r>
  </si>
  <si>
    <r>
      <t>Deep foundations, piles and sheetwalls</t>
    </r>
    <r>
      <rPr>
        <b/>
        <vertAlign val="superscript"/>
        <sz val="11"/>
        <color indexed="8"/>
        <rFont val="Calibri Light"/>
        <family val="2"/>
      </rPr>
      <t>(x)</t>
    </r>
  </si>
  <si>
    <r>
      <t>0.45 m</t>
    </r>
    <r>
      <rPr>
        <vertAlign val="superscript"/>
        <sz val="11"/>
        <color indexed="8"/>
        <rFont val="Calibri Light"/>
        <family val="2"/>
      </rPr>
      <t>3</t>
    </r>
  </si>
  <si>
    <r>
      <t>20 m</t>
    </r>
    <r>
      <rPr>
        <vertAlign val="superscript"/>
        <sz val="11"/>
        <color indexed="8"/>
        <rFont val="Calibri Light"/>
        <family val="2"/>
      </rPr>
      <t>2</t>
    </r>
    <r>
      <rPr>
        <sz val="11"/>
        <color indexed="8"/>
        <rFont val="Calibri Light"/>
        <family val="2"/>
      </rPr>
      <t>/shift</t>
    </r>
  </si>
  <si>
    <t>Item number</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</si>
  <si>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</si>
  <si>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</si>
  <si>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</si>
  <si>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</si>
  <si>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</si>
  <si>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</si>
  <si>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</si>
  <si>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</si>
  <si>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</si>
  <si>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</si>
  <si>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</si>
  <si>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</si>
  <si>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</si>
  <si>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</si>
  <si>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</si>
  <si>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</si>
  <si>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</si>
  <si>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</si>
  <si>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</si>
  <si>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</si>
  <si>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</si>
  <si>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</si>
  <si>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</si>
  <si>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</si>
  <si>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</si>
  <si>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</si>
  <si>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</si>
  <si>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</si>
  <si>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</si>
  <si>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</si>
  <si>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</si>
  <si>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</si>
  <si>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</si>
  <si>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</si>
  <si>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</si>
  <si>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</si>
  <si>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</si>
  <si>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</si>
  <si>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</si>
  <si>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</si>
  <si>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</si>
  <si>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</si>
  <si>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</si>
  <si>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</si>
  <si>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</si>
  <si>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</si>
  <si>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</si>
  <si>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</si>
  <si>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</si>
  <si>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</si>
  <si>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</si>
  <si>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</si>
  <si>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</si>
  <si>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</si>
  <si>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</si>
  <si>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</si>
  <si>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</si>
  <si>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</si>
  <si>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</si>
  <si>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</si>
  <si>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</si>
  <si>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</si>
  <si>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</si>
  <si>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</si>
  <si>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</si>
  <si>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</si>
  <si>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</si>
  <si>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</si>
  <si>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</si>
  <si>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</si>
  <si>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</si>
  <si>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</si>
  <si>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</si>
  <si>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</si>
  <si>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</si>
  <si>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</si>
  <si>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</si>
  <si>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</si>
  <si>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</si>
  <si>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</si>
  <si>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</si>
  <si>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</si>
  <si>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</si>
  <si>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0.085</t>
  </si>
  <si>
    <t>0.086</t>
  </si>
  <si>
    <t>0.087</t>
  </si>
  <si>
    <t>0.088</t>
  </si>
  <si>
    <t>0.089</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</si>
  <si>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</si>
  <si>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</si>
  <si>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</si>
  <si>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</si>
  <si>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</si>
  <si>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</si>
  <si>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</si>
  <si>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</si>
  <si>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</si>
  <si>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</si>
  <si>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</si>
  <si>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</si>
  <si>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</si>
  <si>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</si>
  <si>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</si>
  <si>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</si>
  <si>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</si>
  <si>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</si>
  <si>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</si>
  <si>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</si>
  <si>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</si>
  <si>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</si>
  <si>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</si>
  <si>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</si>
  <si>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</si>
  <si>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</si>
  <si>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</si>
  <si>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</si>
  <si>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</si>
  <si>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</si>
  <si>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</si>
  <si>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</si>
  <si>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</si>
  <si>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</si>
  <si>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</si>
  <si>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</si>
  <si>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</si>
  <si>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</si>
  <si>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</si>
  <si>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</si>
  <si>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</si>
  <si>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</si>
  <si>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</si>
  <si>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</si>
  <si>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</si>
  <si>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</si>
  <si>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</si>
  <si>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</si>
  <si>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</si>
  <si>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</si>
  <si>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</si>
  <si>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</si>
  <si>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</si>
  <si>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</si>
  <si>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</si>
  <si>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</si>
  <si>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</si>
  <si>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0.152</t>
  </si>
  <si>
    <t>0.153</t>
  </si>
  <si>
    <t>0.155</t>
  </si>
  <si>
    <t>0.154</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</si>
  <si>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</si>
  <si>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</si>
  <si>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</si>
  <si>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</si>
  <si>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</si>
  <si>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</si>
  <si>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</si>
  <si>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</si>
  <si>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</si>
  <si>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</si>
  <si>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</si>
  <si>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</si>
  <si>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</si>
  <si>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</si>
  <si>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</si>
  <si>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</si>
  <si>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</si>
  <si>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</si>
  <si>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</si>
  <si>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</si>
  <si>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</si>
  <si>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</si>
  <si>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</si>
  <si>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</si>
  <si>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</si>
  <si>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</si>
  <si>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</si>
  <si>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0.184</t>
  </si>
  <si>
    <t>0.185</t>
  </si>
  <si>
    <t>0.186</t>
  </si>
  <si>
    <t>0.188</t>
  </si>
  <si>
    <t>0.189</t>
  </si>
  <si>
    <t>0.190</t>
  </si>
  <si>
    <t>0.191</t>
  </si>
  <si>
    <t>0.192</t>
  </si>
  <si>
    <t>0.193</t>
  </si>
  <si>
    <t>0.194</t>
  </si>
  <si>
    <t>0.195</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</si>
  <si>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</si>
  <si>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</si>
  <si>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</si>
  <si>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</si>
  <si>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</si>
  <si>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</si>
  <si>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</si>
  <si>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</si>
  <si>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</si>
  <si>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</si>
  <si>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</si>
  <si>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</si>
  <si>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</si>
  <si>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</si>
  <si>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</si>
  <si>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</si>
  <si>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</si>
  <si>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</si>
  <si>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</si>
  <si>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</si>
  <si>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</si>
  <si>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</si>
  <si>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</si>
  <si>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</si>
  <si>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</si>
  <si>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</si>
  <si>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</si>
  <si>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</si>
  <si>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</si>
  <si>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</si>
  <si>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</si>
  <si>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</si>
  <si>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</si>
  <si>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</si>
  <si>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</si>
  <si>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</si>
  <si>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</si>
  <si>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</si>
  <si>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</si>
  <si>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</si>
  <si>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</si>
  <si>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</si>
  <si>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</si>
  <si>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</si>
  <si>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</si>
  <si>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smith</t>
  </si>
  <si>
    <t>insulator</t>
  </si>
  <si>
    <t>roof tiler</t>
  </si>
  <si>
    <t>floor layer (seamless)</t>
  </si>
  <si>
    <t>m3</t>
  </si>
  <si>
    <t>material price</t>
  </si>
  <si>
    <t>fee</t>
  </si>
  <si>
    <t>machinery cost</t>
  </si>
  <si>
    <t>prices</t>
  </si>
  <si>
    <t>Prices</t>
  </si>
  <si>
    <t>Material price</t>
  </si>
  <si>
    <t>Fee</t>
  </si>
  <si>
    <t>Machinery cost</t>
  </si>
  <si>
    <t xml:space="preserve">Material </t>
  </si>
  <si>
    <t>Tételszám</t>
  </si>
  <si>
    <t>Tételszöveg</t>
  </si>
  <si>
    <t>Nr.</t>
  </si>
  <si>
    <t>1.</t>
  </si>
  <si>
    <t>2.</t>
  </si>
  <si>
    <t>3.</t>
  </si>
  <si>
    <t>4.</t>
  </si>
  <si>
    <t>Material cost</t>
  </si>
  <si>
    <t>5.</t>
  </si>
  <si>
    <t>6.</t>
  </si>
  <si>
    <t>7.</t>
  </si>
  <si>
    <t>8.</t>
  </si>
  <si>
    <t>9.</t>
  </si>
  <si>
    <t>10.</t>
  </si>
  <si>
    <t>11.</t>
  </si>
  <si>
    <t>12.</t>
  </si>
  <si>
    <t>13.</t>
  </si>
  <si>
    <t>14.</t>
  </si>
  <si>
    <t>15.</t>
  </si>
  <si>
    <t>16.</t>
  </si>
  <si>
    <t>17.</t>
  </si>
  <si>
    <t>18.</t>
  </si>
  <si>
    <t>19.</t>
  </si>
  <si>
    <t>20.</t>
  </si>
  <si>
    <t>szellőző kémény</t>
  </si>
  <si>
    <t>válaszfal vagy falszakaksz falalzásassa</t>
  </si>
  <si>
    <t>szigetelés védő fal</t>
  </si>
  <si>
    <t>VÁZKERÁMIA FAL FALAZÁS</t>
  </si>
  <si>
    <t>TÉGLAFAL FALAZÁS</t>
  </si>
  <si>
    <t>ATTIKA FAL FALAZÁS?</t>
  </si>
  <si>
    <t>kőműves szerkezetek - anyagok</t>
  </si>
  <si>
    <t>függőleges teherhordó falazataok</t>
  </si>
  <si>
    <t>oszlop vagy pillér</t>
  </si>
  <si>
    <t>NEM TUOM</t>
  </si>
  <si>
    <t>EZT A FÜLET NEM ÉRTEM MINEK KELL, SZERINTEM TÖRÖlHETŐ</t>
  </si>
  <si>
    <t>rendszerzsaluk</t>
  </si>
  <si>
    <t>PREI födémzssalu</t>
  </si>
  <si>
    <t>PERI falzsalu</t>
  </si>
  <si>
    <t>PERI pillér és oszlopzsalu, négyszögletes</t>
  </si>
  <si>
    <t>PERI oszlopzsalu kör keresztmetsze</t>
  </si>
  <si>
    <t>PERI gerenda zsalu</t>
  </si>
  <si>
    <t>PERI falzsalu, egyoldali</t>
  </si>
  <si>
    <t>PERI kétoldalú falzsalú</t>
  </si>
  <si>
    <t>PERI RINGER födémzsalu</t>
  </si>
  <si>
    <t>falzsalu gelyszyíni szerelés</t>
  </si>
  <si>
    <t>előre összeszerelt nagytáblás panelek</t>
  </si>
  <si>
    <t>Doka kétoldali falzsalu</t>
  </si>
  <si>
    <t>egyoldali falzsalu</t>
  </si>
  <si>
    <t xml:space="preserve"> kétoldali falzsalu</t>
  </si>
  <si>
    <t>keretes falzsalu rendszer?</t>
  </si>
  <si>
    <t>támasztólábak összeszerelése (födém és tető)</t>
  </si>
  <si>
    <t>gerenda vagy tetőssalu szerelése</t>
  </si>
  <si>
    <t>korlát bontása</t>
  </si>
  <si>
    <t>teherátadás falra vagy oszlopra</t>
  </si>
  <si>
    <t>térrácsszerkezet összeszerelése</t>
  </si>
  <si>
    <t>kg</t>
  </si>
  <si>
    <t>m2</t>
  </si>
  <si>
    <t>1,5*1,5 m piece</t>
  </si>
  <si>
    <t>EZ SZERINTEM CSAK AZ ÉPÍTŐANYAGRA VONATKOZIK ÉS ILYEN NEM KELL, VAGY TÉVEDEK?</t>
  </si>
  <si>
    <t>MEVA renting price</t>
  </si>
  <si>
    <t>Vertical loadbearing wall, with Masonry block 
Thickness 30 cm</t>
  </si>
  <si>
    <t>Vertical loadbearing wall, with Masonry block 
Thickness 38cm</t>
  </si>
  <si>
    <t>Vertical loadbearing wall, with Masonry block 
Thickness 44cm</t>
  </si>
  <si>
    <t xml:space="preserve">Vertical loadbearing wall, with Concrete block
Thickness 20 cm </t>
  </si>
  <si>
    <t xml:space="preserve">Vertical loadbearing wall, with Concrete block
Thickness 40 cm </t>
  </si>
  <si>
    <t>Partition wall,
Ceramic block 
Thickness 10 cm</t>
  </si>
  <si>
    <t>Partition wall,
with Ceramic block 
Thickness 12 cm</t>
  </si>
  <si>
    <t>Timbering, metal</t>
  </si>
</sst>
</file>

<file path=xl/styles.xml><?xml version="1.0" encoding="utf-8"?>
<styleSheet xmlns="http://schemas.openxmlformats.org/spreadsheetml/2006/main">
  <numFmts count="2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quot;Igen&quot;;&quot;Igen&quot;;&quot;Nem&quot;"/>
    <numFmt numFmtId="167" formatCode="&quot;Igaz&quot;;&quot;Igaz&quot;;&quot;Hamis&quot;"/>
    <numFmt numFmtId="168" formatCode="&quot;Be&quot;;&quot;Be&quot;;&quot;Ki&quot;"/>
    <numFmt numFmtId="169" formatCode="[$¥€-2]\ #\ ##,000_);[Red]\([$€-2]\ #\ ##,000\)"/>
    <numFmt numFmtId="170" formatCode="[$-40E]yyyy\.\ mmmm\ d\.\,\ dddd"/>
    <numFmt numFmtId="171" formatCode="0.0"/>
    <numFmt numFmtId="172" formatCode="#,##0.00\ &quot;Ft&quot;"/>
    <numFmt numFmtId="173" formatCode="#,##0.000\ &quot;Ft&quot;"/>
    <numFmt numFmtId="174" formatCode="#,##0.0\ &quot;Ft&quot;"/>
    <numFmt numFmtId="175" formatCode="#,##0\ &quot;Ft&quot;"/>
    <numFmt numFmtId="176" formatCode="_-* #,##0.00\ [$€-1]_-;\-* #,##0.00\ [$€-1]_-;_-* &quot;-&quot;??\ [$€-1]_-;_-@_-"/>
  </numFmts>
  <fonts count="53">
    <font>
      <sz val="11"/>
      <color theme="1"/>
      <name val="Calibri"/>
      <family val="2"/>
    </font>
    <font>
      <sz val="11"/>
      <color indexed="8"/>
      <name val="Calibri"/>
      <family val="2"/>
    </font>
    <font>
      <sz val="14"/>
      <color indexed="8"/>
      <name val="Calibri Light"/>
      <family val="2"/>
    </font>
    <font>
      <sz val="11"/>
      <color indexed="8"/>
      <name val="Calibri Light"/>
      <family val="2"/>
    </font>
    <font>
      <u val="single"/>
      <sz val="11"/>
      <color indexed="8"/>
      <name val="Calibri Light"/>
      <family val="2"/>
    </font>
    <font>
      <vertAlign val="superscript"/>
      <sz val="11"/>
      <color indexed="8"/>
      <name val="Calibri Light"/>
      <family val="2"/>
    </font>
    <font>
      <i/>
      <sz val="11"/>
      <color indexed="8"/>
      <name val="Calibri Light"/>
      <family val="2"/>
    </font>
    <font>
      <i/>
      <vertAlign val="superscript"/>
      <sz val="11"/>
      <color indexed="8"/>
      <name val="Calibri Light"/>
      <family val="2"/>
    </font>
    <font>
      <b/>
      <vertAlign val="superscript"/>
      <sz val="11"/>
      <color indexed="8"/>
      <name val="Calibri Light"/>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9"/>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u val="single"/>
      <sz val="12"/>
      <color indexed="8"/>
      <name val="Calibri Light"/>
      <family val="2"/>
    </font>
    <font>
      <b/>
      <sz val="11"/>
      <color indexed="8"/>
      <name val="Calibri Light"/>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theme="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
      <sz val="14"/>
      <color rgb="FF000000"/>
      <name val="Calibri Light"/>
      <family val="2"/>
    </font>
    <font>
      <sz val="14"/>
      <color theme="1"/>
      <name val="Calibri Light"/>
      <family val="2"/>
    </font>
    <font>
      <sz val="11"/>
      <color theme="1"/>
      <name val="Calibri Light"/>
      <family val="2"/>
    </font>
    <font>
      <u val="single"/>
      <sz val="12"/>
      <color rgb="FF000000"/>
      <name val="Calibri Light"/>
      <family val="2"/>
    </font>
    <font>
      <b/>
      <sz val="11"/>
      <color rgb="FF000000"/>
      <name val="Calibri Light"/>
      <family val="2"/>
    </font>
    <font>
      <sz val="11"/>
      <color rgb="FF000000"/>
      <name val="Calibri Light"/>
      <family val="2"/>
    </font>
    <font>
      <u val="single"/>
      <sz val="11"/>
      <color theme="1"/>
      <name val="Calibri Light"/>
      <family val="2"/>
    </font>
    <font>
      <i/>
      <sz val="11"/>
      <color theme="1"/>
      <name val="Calibri Light"/>
      <family val="2"/>
    </font>
    <font>
      <vertAlign val="superscript"/>
      <sz val="11"/>
      <color theme="1"/>
      <name val="Calibri Light"/>
      <family val="2"/>
    </font>
    <font>
      <b/>
      <sz val="11"/>
      <color theme="1"/>
      <name val="Calibri Ligh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color indexed="63"/>
      </bottom>
    </border>
    <border>
      <left style="medium">
        <color rgb="FF000000"/>
      </left>
      <right>
        <color indexed="63"/>
      </right>
      <top style="medium">
        <color rgb="FF000000"/>
      </top>
      <bottom>
        <color indexed="63"/>
      </bottom>
    </border>
    <border>
      <left style="medium">
        <color rgb="FF000000"/>
      </left>
      <right>
        <color indexed="63"/>
      </right>
      <top>
        <color indexed="63"/>
      </top>
      <bottom>
        <color indexed="63"/>
      </bottom>
    </border>
    <border>
      <left style="medium">
        <color rgb="FF000000"/>
      </left>
      <right>
        <color indexed="63"/>
      </right>
      <top>
        <color indexed="63"/>
      </top>
      <bottom style="medium">
        <color rgb="FF000000"/>
      </bottom>
    </border>
    <border>
      <left style="medium"/>
      <right style="medium"/>
      <top style="medium"/>
      <bottom style="mediu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right>
        <color indexed="63"/>
      </right>
      <top style="medium"/>
      <bottom style="medium"/>
    </border>
    <border>
      <left>
        <color indexed="63"/>
      </left>
      <right>
        <color indexed="63"/>
      </right>
      <top style="medium">
        <color rgb="FF000000"/>
      </top>
      <bottom>
        <color indexed="63"/>
      </bottom>
    </border>
    <border>
      <left style="medium">
        <color rgb="FF000000"/>
      </left>
      <right>
        <color indexed="63"/>
      </right>
      <top>
        <color indexed="63"/>
      </top>
      <bottom style="medium"/>
    </border>
    <border>
      <left>
        <color indexed="63"/>
      </left>
      <right>
        <color indexed="63"/>
      </right>
      <top>
        <color indexed="63"/>
      </top>
      <bottom style="medium"/>
    </border>
    <border>
      <left>
        <color indexed="63"/>
      </left>
      <right style="medium">
        <color rgb="FF000000"/>
      </right>
      <top>
        <color indexed="63"/>
      </top>
      <bottom style="medium"/>
    </border>
    <border>
      <left>
        <color indexed="63"/>
      </left>
      <right>
        <color indexed="63"/>
      </right>
      <top>
        <color indexed="63"/>
      </top>
      <bottom style="medium">
        <color rgb="FF00000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rgb="FF000000"/>
      </left>
      <right style="medium">
        <color rgb="FF000000"/>
      </right>
      <top style="medium">
        <color rgb="FF000000"/>
      </top>
      <bottom style="dashed">
        <color rgb="FF000000"/>
      </bottom>
    </border>
    <border>
      <left style="medium">
        <color rgb="FF000000"/>
      </left>
      <right style="medium">
        <color rgb="FF000000"/>
      </right>
      <top style="dashed">
        <color rgb="FF000000"/>
      </top>
      <bottom style="dashed">
        <color rgb="FF000000"/>
      </bottom>
    </border>
    <border>
      <left style="medium">
        <color rgb="FF000000"/>
      </left>
      <right style="medium">
        <color rgb="FF000000"/>
      </right>
      <top style="dashed">
        <color rgb="FF000000"/>
      </top>
      <bottom style="medium">
        <color rgb="FF000000"/>
      </bottom>
    </border>
    <border>
      <left style="medium">
        <color rgb="FF000000"/>
      </left>
      <right style="medium">
        <color rgb="FF000000"/>
      </right>
      <top style="medium">
        <color rgb="FF000000"/>
      </top>
      <bottom style="dotted">
        <color rgb="FF000000"/>
      </bottom>
    </border>
    <border>
      <left style="medium">
        <color rgb="FF000000"/>
      </left>
      <right style="medium">
        <color rgb="FF000000"/>
      </right>
      <top style="dotted">
        <color rgb="FF000000"/>
      </top>
      <bottom style="dotted">
        <color rgb="FF000000"/>
      </bottom>
    </border>
    <border>
      <left style="medium">
        <color rgb="FF000000"/>
      </left>
      <right style="medium">
        <color rgb="FF000000"/>
      </right>
      <top style="dotted">
        <color rgb="FF000000"/>
      </top>
      <bottom style="medium">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3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1" fillId="32" borderId="0" applyNumberFormat="0" applyBorder="0" applyAlignment="0" applyProtection="0"/>
    <xf numFmtId="0" fontId="42" fillId="30" borderId="1" applyNumberFormat="0" applyAlignment="0" applyProtection="0"/>
    <xf numFmtId="9" fontId="0" fillId="0" borderId="0" applyFont="0" applyFill="0" applyBorder="0" applyAlignment="0" applyProtection="0"/>
  </cellStyleXfs>
  <cellXfs count="236">
    <xf numFmtId="0" fontId="0" fillId="0" borderId="0" xfId="0" applyFont="1"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3" fillId="0" borderId="0" xfId="0" applyFont="1" applyAlignment="1">
      <alignment horizontal="center" vertical="center" wrapText="1"/>
    </xf>
    <xf numFmtId="0" fontId="45" fillId="0" borderId="0" xfId="0" applyFont="1" applyAlignment="1">
      <alignment vertical="center" wrapText="1"/>
    </xf>
    <xf numFmtId="0" fontId="46" fillId="0" borderId="0" xfId="0" applyFont="1" applyAlignment="1">
      <alignment horizontal="left" vertical="center" wrapText="1"/>
    </xf>
    <xf numFmtId="0" fontId="45" fillId="0" borderId="0" xfId="0" applyFont="1" applyAlignment="1">
      <alignment vertical="top"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vertical="center" wrapText="1"/>
    </xf>
    <xf numFmtId="0" fontId="45" fillId="0" borderId="12" xfId="0" applyFont="1" applyBorder="1" applyAlignment="1">
      <alignment horizontal="center" vertical="center" wrapText="1"/>
    </xf>
    <xf numFmtId="0" fontId="45" fillId="0" borderId="10" xfId="0" applyFont="1" applyBorder="1" applyAlignment="1">
      <alignment vertical="center" wrapText="1"/>
    </xf>
    <xf numFmtId="0" fontId="45" fillId="0" borderId="13" xfId="0" applyFont="1" applyBorder="1" applyAlignment="1">
      <alignment vertical="center" wrapText="1"/>
    </xf>
    <xf numFmtId="0" fontId="45" fillId="0" borderId="13" xfId="0" applyFont="1" applyBorder="1" applyAlignment="1">
      <alignment horizontal="center" vertical="center" wrapText="1"/>
    </xf>
    <xf numFmtId="0" fontId="45" fillId="0" borderId="11" xfId="0" applyFont="1" applyBorder="1" applyAlignment="1">
      <alignment vertical="center" wrapText="1"/>
    </xf>
    <xf numFmtId="0" fontId="49" fillId="0" borderId="10" xfId="0" applyFont="1" applyBorder="1" applyAlignment="1">
      <alignment vertical="center" wrapText="1"/>
    </xf>
    <xf numFmtId="0" fontId="49" fillId="0" borderId="13" xfId="0" applyFont="1" applyBorder="1" applyAlignment="1">
      <alignment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45" fillId="0" borderId="12" xfId="0" applyFont="1" applyFill="1" applyBorder="1" applyAlignment="1">
      <alignment horizontal="center" vertical="center" wrapText="1"/>
    </xf>
    <xf numFmtId="2" fontId="45" fillId="0" borderId="12"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1" xfId="0" applyNumberFormat="1" applyFont="1" applyFill="1" applyBorder="1" applyAlignment="1">
      <alignment horizontal="center" vertical="center" wrapText="1"/>
    </xf>
    <xf numFmtId="0" fontId="45" fillId="0" borderId="12" xfId="0" applyNumberFormat="1" applyFont="1" applyFill="1" applyBorder="1" applyAlignment="1">
      <alignment horizontal="center" vertical="center" wrapText="1"/>
    </xf>
    <xf numFmtId="0" fontId="45" fillId="0" borderId="13" xfId="0" applyNumberFormat="1" applyFont="1" applyFill="1" applyBorder="1" applyAlignment="1">
      <alignment horizontal="center" vertical="center" wrapText="1"/>
    </xf>
    <xf numFmtId="171" fontId="45" fillId="0" borderId="11" xfId="0" applyNumberFormat="1" applyFont="1" applyFill="1" applyBorder="1" applyAlignment="1">
      <alignment horizontal="center" vertical="center" wrapText="1"/>
    </xf>
    <xf numFmtId="171" fontId="45" fillId="0" borderId="13" xfId="0" applyNumberFormat="1" applyFont="1" applyFill="1" applyBorder="1" applyAlignment="1">
      <alignment horizontal="center" vertical="center" wrapText="1"/>
    </xf>
    <xf numFmtId="0" fontId="45" fillId="0" borderId="10" xfId="0" applyNumberFormat="1" applyFont="1" applyBorder="1" applyAlignment="1">
      <alignment horizontal="center" vertical="center" wrapText="1"/>
    </xf>
    <xf numFmtId="0" fontId="45" fillId="0" borderId="12" xfId="0" applyFont="1" applyBorder="1" applyAlignment="1">
      <alignment horizontal="center" vertical="center"/>
    </xf>
    <xf numFmtId="0" fontId="45" fillId="0" borderId="0" xfId="0" applyFont="1" applyAlignment="1">
      <alignment vertical="center"/>
    </xf>
    <xf numFmtId="0" fontId="45" fillId="0" borderId="0" xfId="0" applyFont="1" applyAlignment="1">
      <alignment horizontal="center" vertical="center"/>
    </xf>
    <xf numFmtId="0" fontId="45" fillId="33" borderId="0" xfId="0" applyFont="1" applyFill="1" applyAlignment="1">
      <alignment/>
    </xf>
    <xf numFmtId="0" fontId="45" fillId="34" borderId="12" xfId="0" applyFont="1" applyFill="1" applyBorder="1" applyAlignment="1">
      <alignment vertical="center"/>
    </xf>
    <xf numFmtId="0" fontId="45" fillId="34" borderId="12" xfId="0" applyFont="1" applyFill="1" applyBorder="1" applyAlignment="1">
      <alignment horizontal="center" vertical="center"/>
    </xf>
    <xf numFmtId="0" fontId="45" fillId="34" borderId="12" xfId="0" applyFont="1" applyFill="1" applyBorder="1" applyAlignment="1">
      <alignment horizontal="center" vertical="center"/>
    </xf>
    <xf numFmtId="0" fontId="45" fillId="34" borderId="17" xfId="0" applyFont="1" applyFill="1" applyBorder="1" applyAlignment="1">
      <alignment horizontal="center" vertical="center"/>
    </xf>
    <xf numFmtId="0" fontId="45" fillId="34" borderId="12" xfId="0" applyFont="1" applyFill="1" applyBorder="1" applyAlignment="1">
      <alignment/>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0" xfId="0" applyFont="1" applyFill="1" applyAlignment="1">
      <alignment/>
    </xf>
    <xf numFmtId="0" fontId="45" fillId="0" borderId="12" xfId="0" applyFont="1" applyFill="1" applyBorder="1" applyAlignment="1">
      <alignment vertical="center" wrapText="1"/>
    </xf>
    <xf numFmtId="0" fontId="45" fillId="0" borderId="12" xfId="0" applyFont="1" applyFill="1" applyBorder="1" applyAlignment="1">
      <alignment horizontal="center" vertical="center"/>
    </xf>
    <xf numFmtId="0" fontId="45" fillId="34" borderId="12" xfId="0" applyFont="1" applyFill="1" applyBorder="1" applyAlignment="1">
      <alignment horizontal="center" vertical="center"/>
    </xf>
    <xf numFmtId="0" fontId="45" fillId="0" borderId="12" xfId="0" applyFont="1" applyBorder="1" applyAlignment="1">
      <alignment horizontal="center" vertical="center"/>
    </xf>
    <xf numFmtId="0" fontId="45" fillId="34" borderId="12" xfId="0" applyFont="1" applyFill="1" applyBorder="1" applyAlignment="1">
      <alignment horizontal="center"/>
    </xf>
    <xf numFmtId="0" fontId="45" fillId="34" borderId="12" xfId="0" applyFont="1" applyFill="1" applyBorder="1" applyAlignment="1">
      <alignment horizontal="center"/>
    </xf>
    <xf numFmtId="0" fontId="45" fillId="33" borderId="12" xfId="0" applyFont="1" applyFill="1" applyBorder="1" applyAlignment="1">
      <alignment horizontal="center" vertical="center"/>
    </xf>
    <xf numFmtId="0" fontId="45" fillId="0" borderId="12" xfId="0" applyFont="1" applyBorder="1" applyAlignment="1">
      <alignment vertical="center"/>
    </xf>
    <xf numFmtId="0" fontId="45" fillId="0" borderId="0" xfId="0" applyFont="1" applyAlignment="1">
      <alignment horizontal="left" vertical="top" wrapText="1"/>
    </xf>
    <xf numFmtId="0" fontId="45" fillId="0" borderId="10" xfId="0" applyFont="1" applyFill="1" applyBorder="1" applyAlignment="1">
      <alignment vertical="center" wrapText="1"/>
    </xf>
    <xf numFmtId="0" fontId="45" fillId="0" borderId="11" xfId="0" applyFont="1" applyFill="1" applyBorder="1" applyAlignment="1">
      <alignment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0" xfId="0" applyFont="1" applyAlignment="1">
      <alignment wrapText="1"/>
    </xf>
    <xf numFmtId="0" fontId="45" fillId="35" borderId="0" xfId="0" applyFont="1" applyFill="1" applyAlignment="1">
      <alignment/>
    </xf>
    <xf numFmtId="0" fontId="45" fillId="0" borderId="0" xfId="0" applyFont="1" applyFill="1" applyAlignment="1">
      <alignment/>
    </xf>
    <xf numFmtId="0" fontId="45" fillId="0" borderId="0" xfId="0" applyFont="1" applyAlignment="1">
      <alignment/>
    </xf>
    <xf numFmtId="0" fontId="45" fillId="0" borderId="12" xfId="0" applyFont="1" applyBorder="1" applyAlignment="1">
      <alignment horizontal="center" vertical="center"/>
    </xf>
    <xf numFmtId="0" fontId="45" fillId="0" borderId="0" xfId="0" applyFont="1" applyAlignment="1">
      <alignment horizontal="center" vertical="center"/>
    </xf>
    <xf numFmtId="0" fontId="45" fillId="0" borderId="18" xfId="0" applyFont="1" applyBorder="1" applyAlignment="1">
      <alignment vertical="center" wrapText="1"/>
    </xf>
    <xf numFmtId="0" fontId="45" fillId="0" borderId="19" xfId="0" applyFont="1" applyBorder="1" applyAlignment="1">
      <alignment vertical="center" wrapText="1"/>
    </xf>
    <xf numFmtId="0" fontId="45" fillId="0" borderId="20" xfId="0" applyFont="1" applyBorder="1" applyAlignment="1">
      <alignment vertical="center" wrapText="1"/>
    </xf>
    <xf numFmtId="0" fontId="49" fillId="0" borderId="18" xfId="0" applyFont="1" applyBorder="1" applyAlignment="1">
      <alignment vertical="center" wrapText="1"/>
    </xf>
    <xf numFmtId="0" fontId="45" fillId="34" borderId="12" xfId="0" applyFont="1" applyFill="1" applyBorder="1" applyAlignment="1">
      <alignment horizontal="center" vertical="center"/>
    </xf>
    <xf numFmtId="2" fontId="45" fillId="0" borderId="11" xfId="0" applyNumberFormat="1" applyFont="1" applyFill="1" applyBorder="1" applyAlignment="1">
      <alignment horizontal="center" vertical="center" wrapText="1"/>
    </xf>
    <xf numFmtId="0" fontId="45" fillId="0" borderId="11" xfId="0" applyNumberFormat="1" applyFont="1" applyFill="1" applyBorder="1" applyAlignment="1">
      <alignment horizontal="center" vertical="center" wrapText="1"/>
    </xf>
    <xf numFmtId="0" fontId="45" fillId="0" borderId="12" xfId="0" applyFont="1" applyFill="1" applyBorder="1" applyAlignment="1">
      <alignment horizontal="center" vertical="center"/>
    </xf>
    <xf numFmtId="0" fontId="45" fillId="0" borderId="10" xfId="0" applyFont="1" applyFill="1" applyBorder="1" applyAlignment="1">
      <alignment vertical="center" wrapText="1"/>
    </xf>
    <xf numFmtId="0" fontId="45" fillId="0" borderId="11" xfId="0" applyFont="1" applyFill="1" applyBorder="1" applyAlignment="1">
      <alignment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175" fontId="45" fillId="0" borderId="0" xfId="0" applyNumberFormat="1" applyFont="1" applyAlignment="1">
      <alignment vertical="center"/>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1" xfId="0" applyNumberFormat="1" applyFont="1" applyFill="1" applyBorder="1" applyAlignment="1">
      <alignment horizontal="center" vertical="center" wrapText="1"/>
    </xf>
    <xf numFmtId="0" fontId="45" fillId="0" borderId="10" xfId="0" applyFont="1" applyFill="1" applyBorder="1" applyAlignment="1">
      <alignment vertical="center" wrapText="1"/>
    </xf>
    <xf numFmtId="0" fontId="45" fillId="0" borderId="11" xfId="0" applyFont="1" applyFill="1" applyBorder="1" applyAlignment="1">
      <alignment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Border="1" applyAlignment="1">
      <alignment vertical="center" wrapText="1"/>
    </xf>
    <xf numFmtId="0" fontId="45" fillId="0" borderId="11" xfId="0" applyFont="1" applyBorder="1" applyAlignment="1">
      <alignment vertical="center" wrapText="1"/>
    </xf>
    <xf numFmtId="0" fontId="45" fillId="0" borderId="12" xfId="0" applyFont="1" applyFill="1" applyBorder="1" applyAlignment="1">
      <alignment horizontal="center" vertical="center"/>
    </xf>
    <xf numFmtId="0" fontId="45" fillId="0" borderId="0" xfId="0" applyFont="1" applyAlignment="1">
      <alignment horizontal="center"/>
    </xf>
    <xf numFmtId="0" fontId="45" fillId="0" borderId="13" xfId="0" applyNumberFormat="1" applyFont="1" applyFill="1" applyBorder="1" applyAlignment="1">
      <alignment horizontal="center" vertical="center" wrapText="1"/>
    </xf>
    <xf numFmtId="0" fontId="45" fillId="0" borderId="13" xfId="0" applyFont="1" applyBorder="1" applyAlignment="1">
      <alignment vertical="center" wrapText="1"/>
    </xf>
    <xf numFmtId="176" fontId="45" fillId="34" borderId="12" xfId="0" applyNumberFormat="1" applyFont="1" applyFill="1" applyBorder="1" applyAlignment="1">
      <alignment horizontal="center" vertical="center"/>
    </xf>
    <xf numFmtId="176" fontId="45" fillId="34" borderId="12" xfId="0" applyNumberFormat="1" applyFont="1" applyFill="1" applyBorder="1" applyAlignment="1">
      <alignment horizontal="center" vertical="center"/>
    </xf>
    <xf numFmtId="176" fontId="45" fillId="34" borderId="12" xfId="0" applyNumberFormat="1" applyFont="1" applyFill="1" applyBorder="1" applyAlignment="1">
      <alignment vertical="center"/>
    </xf>
    <xf numFmtId="0" fontId="45" fillId="0" borderId="13" xfId="0" applyFont="1" applyFill="1" applyBorder="1" applyAlignment="1">
      <alignment horizontal="center" vertical="center" wrapText="1"/>
    </xf>
    <xf numFmtId="0" fontId="45" fillId="0" borderId="13" xfId="0" applyFont="1" applyFill="1" applyBorder="1" applyAlignment="1">
      <alignment vertical="center" wrapText="1"/>
    </xf>
    <xf numFmtId="0" fontId="45" fillId="0" borderId="0" xfId="0" applyFont="1" applyAlignment="1">
      <alignment vertical="top"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34" borderId="12" xfId="0" applyFont="1" applyFill="1" applyBorder="1" applyAlignment="1">
      <alignment horizontal="center" vertical="center"/>
    </xf>
    <xf numFmtId="0" fontId="47" fillId="0" borderId="0" xfId="0" applyFont="1" applyAlignment="1">
      <alignment horizontal="center" vertical="center" wrapText="1"/>
    </xf>
    <xf numFmtId="0" fontId="45" fillId="0" borderId="12" xfId="0" applyFont="1" applyBorder="1" applyAlignment="1">
      <alignment horizontal="center" vertical="center"/>
    </xf>
    <xf numFmtId="2" fontId="45" fillId="0" borderId="10" xfId="0" applyNumberFormat="1" applyFont="1" applyFill="1" applyBorder="1" applyAlignment="1">
      <alignment horizontal="center" vertical="center" wrapText="1"/>
    </xf>
    <xf numFmtId="2" fontId="45" fillId="0" borderId="11"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1" xfId="0" applyNumberFormat="1" applyFont="1" applyFill="1" applyBorder="1" applyAlignment="1">
      <alignment horizontal="center" vertical="center" wrapText="1"/>
    </xf>
    <xf numFmtId="0" fontId="45" fillId="0" borderId="13"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176" fontId="45" fillId="34" borderId="12" xfId="0" applyNumberFormat="1" applyFont="1" applyFill="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3" xfId="0" applyFont="1" applyBorder="1" applyAlignment="1">
      <alignment horizontal="center" vertical="center"/>
    </xf>
    <xf numFmtId="0" fontId="45" fillId="0" borderId="0" xfId="0" applyFont="1" applyAlignment="1">
      <alignment horizontal="left" vertical="top" wrapText="1"/>
    </xf>
    <xf numFmtId="176" fontId="45" fillId="34" borderId="17" xfId="0" applyNumberFormat="1" applyFont="1" applyFill="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24" xfId="0" applyFont="1" applyBorder="1" applyAlignment="1">
      <alignment horizontal="center" vertical="center" wrapText="1"/>
    </xf>
    <xf numFmtId="0" fontId="45" fillId="34" borderId="17" xfId="0" applyFont="1" applyFill="1" applyBorder="1" applyAlignment="1">
      <alignment horizontal="center" vertical="center"/>
    </xf>
    <xf numFmtId="0" fontId="45" fillId="0" borderId="24" xfId="0" applyFont="1" applyBorder="1" applyAlignment="1">
      <alignment horizontal="center" vertical="center"/>
    </xf>
    <xf numFmtId="16" fontId="45" fillId="0" borderId="10" xfId="0" applyNumberFormat="1" applyFont="1" applyBorder="1" applyAlignment="1">
      <alignment horizontal="center" vertical="center"/>
    </xf>
    <xf numFmtId="0" fontId="45" fillId="0" borderId="0" xfId="0" applyFont="1" applyAlignment="1">
      <alignment horizontal="center"/>
    </xf>
    <xf numFmtId="0" fontId="45" fillId="0" borderId="0" xfId="0" applyFont="1" applyFill="1" applyAlignment="1">
      <alignment horizontal="left" vertical="top" wrapText="1"/>
    </xf>
    <xf numFmtId="0" fontId="45" fillId="0" borderId="12" xfId="0" applyFont="1" applyFill="1" applyBorder="1" applyAlignment="1">
      <alignment horizontal="center" vertical="center"/>
    </xf>
    <xf numFmtId="0" fontId="45" fillId="0" borderId="10" xfId="0" applyFont="1" applyFill="1" applyBorder="1" applyAlignment="1">
      <alignment vertical="center" wrapText="1"/>
    </xf>
    <xf numFmtId="0" fontId="45" fillId="0" borderId="11" xfId="0" applyFont="1" applyFill="1" applyBorder="1" applyAlignment="1">
      <alignment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Border="1" applyAlignment="1">
      <alignment vertical="center" wrapText="1"/>
    </xf>
    <xf numFmtId="0" fontId="45" fillId="0" borderId="11" xfId="0" applyFont="1" applyBorder="1" applyAlignment="1">
      <alignment vertical="center" wrapText="1"/>
    </xf>
    <xf numFmtId="0" fontId="45" fillId="34" borderId="14" xfId="0" applyFont="1" applyFill="1" applyBorder="1" applyAlignment="1">
      <alignment horizontal="center" vertical="center"/>
    </xf>
    <xf numFmtId="0" fontId="45" fillId="34" borderId="25" xfId="0" applyFont="1" applyFill="1" applyBorder="1" applyAlignment="1">
      <alignment horizontal="center" vertical="center"/>
    </xf>
    <xf numFmtId="0" fontId="45" fillId="34" borderId="18" xfId="0" applyFont="1" applyFill="1" applyBorder="1" applyAlignment="1">
      <alignment horizontal="center" vertical="center"/>
    </xf>
    <xf numFmtId="0" fontId="45" fillId="34" borderId="26" xfId="0" applyFont="1" applyFill="1" applyBorder="1" applyAlignment="1">
      <alignment horizontal="center" vertical="center"/>
    </xf>
    <xf numFmtId="0" fontId="45" fillId="34" borderId="27" xfId="0" applyFont="1" applyFill="1" applyBorder="1" applyAlignment="1">
      <alignment horizontal="center" vertical="center"/>
    </xf>
    <xf numFmtId="0" fontId="45" fillId="34" borderId="28" xfId="0" applyFont="1" applyFill="1" applyBorder="1" applyAlignment="1">
      <alignment horizontal="center" vertical="center"/>
    </xf>
    <xf numFmtId="2" fontId="45" fillId="0" borderId="10" xfId="0" applyNumberFormat="1" applyFont="1" applyBorder="1" applyAlignment="1">
      <alignment horizontal="center" vertical="center" wrapText="1"/>
    </xf>
    <xf numFmtId="2" fontId="45" fillId="0" borderId="13" xfId="0" applyNumberFormat="1" applyFont="1" applyBorder="1" applyAlignment="1">
      <alignment horizontal="center" vertical="center" wrapText="1"/>
    </xf>
    <xf numFmtId="2" fontId="45" fillId="0" borderId="11" xfId="0" applyNumberFormat="1" applyFont="1" applyBorder="1" applyAlignment="1">
      <alignment horizontal="center" vertical="center" wrapText="1"/>
    </xf>
    <xf numFmtId="0" fontId="45" fillId="0" borderId="13" xfId="0" applyNumberFormat="1" applyFont="1" applyFill="1" applyBorder="1" applyAlignment="1">
      <alignment horizontal="center" vertical="center" wrapText="1"/>
    </xf>
    <xf numFmtId="176" fontId="45" fillId="34" borderId="10" xfId="0" applyNumberFormat="1" applyFont="1" applyFill="1" applyBorder="1" applyAlignment="1">
      <alignment horizontal="center" vertical="center"/>
    </xf>
    <xf numFmtId="176" fontId="45" fillId="34" borderId="13" xfId="0" applyNumberFormat="1" applyFont="1" applyFill="1" applyBorder="1" applyAlignment="1">
      <alignment horizontal="center" vertical="center"/>
    </xf>
    <xf numFmtId="176" fontId="45" fillId="34" borderId="11" xfId="0" applyNumberFormat="1" applyFont="1" applyFill="1" applyBorder="1" applyAlignment="1">
      <alignment horizontal="center" vertical="center"/>
    </xf>
    <xf numFmtId="0" fontId="45" fillId="0" borderId="15" xfId="0" applyFont="1" applyBorder="1" applyAlignment="1">
      <alignment horizontal="center"/>
    </xf>
    <xf numFmtId="0" fontId="45" fillId="0" borderId="10"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3" xfId="0" applyFont="1" applyBorder="1" applyAlignment="1">
      <alignment vertical="center" wrapText="1"/>
    </xf>
    <xf numFmtId="0" fontId="45" fillId="0" borderId="13" xfId="0" applyFont="1" applyFill="1" applyBorder="1" applyAlignment="1">
      <alignment vertical="center" wrapText="1"/>
    </xf>
    <xf numFmtId="0" fontId="45" fillId="0" borderId="13" xfId="0" applyFont="1" applyFill="1" applyBorder="1" applyAlignment="1">
      <alignment horizontal="center" vertical="center" wrapText="1"/>
    </xf>
    <xf numFmtId="0" fontId="51" fillId="0" borderId="21" xfId="0" applyFont="1" applyBorder="1" applyAlignment="1">
      <alignment horizontal="center" vertical="center" wrapText="1"/>
    </xf>
    <xf numFmtId="0" fontId="51" fillId="0" borderId="23" xfId="0" applyFont="1" applyBorder="1" applyAlignment="1">
      <alignment horizontal="center" vertical="center" wrapText="1"/>
    </xf>
    <xf numFmtId="2" fontId="45" fillId="0" borderId="13" xfId="0" applyNumberFormat="1" applyFont="1" applyFill="1" applyBorder="1" applyAlignment="1">
      <alignment horizontal="center" vertical="center" wrapText="1"/>
    </xf>
    <xf numFmtId="0" fontId="51" fillId="0" borderId="14"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9" xfId="0" applyFont="1" applyBorder="1" applyAlignment="1">
      <alignment horizontal="center" vertical="center" wrapText="1"/>
    </xf>
    <xf numFmtId="0" fontId="45" fillId="0" borderId="15" xfId="0" applyFont="1" applyFill="1" applyBorder="1" applyAlignment="1">
      <alignment horizontal="center"/>
    </xf>
    <xf numFmtId="171" fontId="45" fillId="0" borderId="14" xfId="0" applyNumberFormat="1" applyFont="1" applyBorder="1" applyAlignment="1">
      <alignment horizontal="center" vertical="center" wrapText="1"/>
    </xf>
    <xf numFmtId="171" fontId="45" fillId="0" borderId="25" xfId="0" applyNumberFormat="1" applyFont="1" applyBorder="1" applyAlignment="1">
      <alignment horizontal="center" vertical="center" wrapText="1"/>
    </xf>
    <xf numFmtId="171" fontId="45" fillId="0" borderId="18" xfId="0" applyNumberFormat="1" applyFont="1" applyBorder="1" applyAlignment="1">
      <alignment horizontal="center" vertical="center" wrapText="1"/>
    </xf>
    <xf numFmtId="171" fontId="45" fillId="0" borderId="15" xfId="0" applyNumberFormat="1" applyFont="1" applyBorder="1" applyAlignment="1">
      <alignment horizontal="center" vertical="center" wrapText="1"/>
    </xf>
    <xf numFmtId="171" fontId="45" fillId="0" borderId="0" xfId="0" applyNumberFormat="1" applyFont="1" applyBorder="1" applyAlignment="1">
      <alignment horizontal="center" vertical="center" wrapText="1"/>
    </xf>
    <xf numFmtId="171" fontId="45" fillId="0" borderId="20" xfId="0" applyNumberFormat="1" applyFont="1" applyBorder="1" applyAlignment="1">
      <alignment horizontal="center" vertical="center" wrapText="1"/>
    </xf>
    <xf numFmtId="171" fontId="45" fillId="0" borderId="16" xfId="0" applyNumberFormat="1" applyFont="1" applyBorder="1" applyAlignment="1">
      <alignment horizontal="center" vertical="center" wrapText="1"/>
    </xf>
    <xf numFmtId="171" fontId="45" fillId="0" borderId="29" xfId="0" applyNumberFormat="1" applyFont="1" applyBorder="1" applyAlignment="1">
      <alignment horizontal="center" vertical="center" wrapText="1"/>
    </xf>
    <xf numFmtId="171" fontId="45" fillId="0" borderId="19" xfId="0" applyNumberFormat="1" applyFont="1" applyBorder="1" applyAlignment="1">
      <alignment horizontal="center" vertical="center" wrapText="1"/>
    </xf>
    <xf numFmtId="0" fontId="45" fillId="0" borderId="1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18"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0" xfId="0" applyFont="1" applyAlignment="1">
      <alignment horizontal="center" vertical="center"/>
    </xf>
    <xf numFmtId="0" fontId="45" fillId="33" borderId="12" xfId="0" applyFont="1" applyFill="1" applyBorder="1" applyAlignment="1">
      <alignment horizontal="center" vertical="center" wrapText="1"/>
    </xf>
    <xf numFmtId="0" fontId="45" fillId="33" borderId="10" xfId="0" applyFont="1" applyFill="1" applyBorder="1" applyAlignment="1">
      <alignment horizontal="center" vertical="center"/>
    </xf>
    <xf numFmtId="0" fontId="45" fillId="33" borderId="13" xfId="0" applyFont="1" applyFill="1" applyBorder="1" applyAlignment="1">
      <alignment horizontal="center" vertical="center"/>
    </xf>
    <xf numFmtId="0" fontId="45" fillId="33" borderId="11" xfId="0" applyFont="1" applyFill="1" applyBorder="1" applyAlignment="1">
      <alignment horizontal="center" vertical="center"/>
    </xf>
    <xf numFmtId="0" fontId="45" fillId="0" borderId="1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0" xfId="0" applyFont="1" applyFill="1" applyAlignment="1">
      <alignment horizontal="center"/>
    </xf>
    <xf numFmtId="0" fontId="45" fillId="0" borderId="0" xfId="0" applyFont="1" applyAlignment="1">
      <alignment horizontal="center" wrapText="1"/>
    </xf>
    <xf numFmtId="0" fontId="45" fillId="0" borderId="0" xfId="0" applyFont="1" applyAlignment="1">
      <alignment horizontal="center" vertical="center" wrapText="1"/>
    </xf>
    <xf numFmtId="0" fontId="45" fillId="0" borderId="12" xfId="0" applyFont="1" applyBorder="1" applyAlignment="1">
      <alignment horizontal="center" vertical="center" wrapText="1"/>
    </xf>
    <xf numFmtId="0" fontId="45" fillId="34" borderId="10" xfId="0" applyFont="1" applyFill="1" applyBorder="1" applyAlignment="1">
      <alignment horizontal="center"/>
    </xf>
    <xf numFmtId="0" fontId="45" fillId="34" borderId="11" xfId="0" applyFont="1" applyFill="1" applyBorder="1" applyAlignment="1">
      <alignment horizontal="center"/>
    </xf>
    <xf numFmtId="0" fontId="45" fillId="34" borderId="13" xfId="0" applyFont="1" applyFill="1" applyBorder="1" applyAlignment="1">
      <alignment horizontal="center"/>
    </xf>
    <xf numFmtId="0" fontId="52" fillId="33" borderId="0" xfId="0" applyFont="1" applyFill="1" applyAlignment="1">
      <alignment horizontal="center" vertical="center" wrapText="1"/>
    </xf>
    <xf numFmtId="0" fontId="45" fillId="0" borderId="30" xfId="0" applyFont="1" applyBorder="1" applyAlignment="1">
      <alignment horizontal="center" vertical="center"/>
    </xf>
    <xf numFmtId="0" fontId="45" fillId="0" borderId="31" xfId="0" applyFont="1" applyBorder="1" applyAlignment="1">
      <alignment horizontal="center" vertical="center"/>
    </xf>
    <xf numFmtId="0" fontId="45" fillId="0" borderId="32" xfId="0" applyFont="1" applyBorder="1" applyAlignment="1">
      <alignment horizontal="center" vertical="center"/>
    </xf>
    <xf numFmtId="0" fontId="45" fillId="0" borderId="18" xfId="0" applyFont="1" applyBorder="1" applyAlignment="1">
      <alignment vertical="center" wrapText="1"/>
    </xf>
    <xf numFmtId="0" fontId="45" fillId="0" borderId="19" xfId="0" applyFont="1" applyBorder="1" applyAlignment="1">
      <alignment vertical="center" wrapText="1"/>
    </xf>
    <xf numFmtId="0" fontId="45" fillId="34" borderId="10" xfId="0" applyFont="1" applyFill="1" applyBorder="1" applyAlignment="1">
      <alignment horizontal="center" vertical="center"/>
    </xf>
    <xf numFmtId="0" fontId="45" fillId="34" borderId="11" xfId="0" applyFont="1" applyFill="1" applyBorder="1" applyAlignment="1">
      <alignment horizontal="center" vertical="center"/>
    </xf>
    <xf numFmtId="0" fontId="49" fillId="0" borderId="21" xfId="0" applyFont="1" applyBorder="1" applyAlignment="1">
      <alignment horizontal="left" vertical="center" wrapText="1"/>
    </xf>
    <xf numFmtId="0" fontId="49" fillId="0" borderId="22" xfId="0" applyFont="1" applyBorder="1" applyAlignment="1">
      <alignment horizontal="left" vertical="center" wrapText="1"/>
    </xf>
    <xf numFmtId="0" fontId="49" fillId="0" borderId="23" xfId="0" applyFont="1" applyBorder="1" applyAlignment="1">
      <alignment horizontal="left" vertical="center" wrapText="1"/>
    </xf>
    <xf numFmtId="0" fontId="49" fillId="0" borderId="14" xfId="0" applyFont="1" applyBorder="1" applyAlignment="1">
      <alignment horizontal="left" vertical="center" wrapText="1"/>
    </xf>
    <xf numFmtId="0" fontId="49" fillId="0" borderId="25" xfId="0" applyFont="1" applyBorder="1" applyAlignment="1">
      <alignment horizontal="left" vertical="center" wrapText="1"/>
    </xf>
    <xf numFmtId="0" fontId="49" fillId="0" borderId="18" xfId="0" applyFont="1" applyBorder="1" applyAlignment="1">
      <alignment horizontal="left" vertical="center" wrapText="1"/>
    </xf>
    <xf numFmtId="0" fontId="45" fillId="0" borderId="14" xfId="0" applyFont="1" applyBorder="1" applyAlignment="1">
      <alignment vertical="center" wrapText="1"/>
    </xf>
    <xf numFmtId="0" fontId="45" fillId="0" borderId="25" xfId="0" applyFont="1" applyBorder="1" applyAlignment="1">
      <alignment vertical="center" wrapText="1"/>
    </xf>
    <xf numFmtId="0" fontId="45" fillId="0" borderId="16" xfId="0" applyFont="1" applyBorder="1" applyAlignment="1">
      <alignment vertical="center" wrapText="1"/>
    </xf>
    <xf numFmtId="0" fontId="45" fillId="0" borderId="29" xfId="0" applyFont="1" applyBorder="1" applyAlignment="1">
      <alignment vertical="center" wrapText="1"/>
    </xf>
    <xf numFmtId="0" fontId="47" fillId="0" borderId="0" xfId="0" applyFont="1" applyAlignment="1">
      <alignment horizontal="left" vertical="center" wrapText="1"/>
    </xf>
    <xf numFmtId="0" fontId="45" fillId="0" borderId="21" xfId="0" applyFont="1" applyBorder="1" applyAlignment="1">
      <alignment vertical="center" wrapText="1"/>
    </xf>
    <xf numFmtId="0" fontId="45" fillId="0" borderId="23" xfId="0" applyFont="1" applyBorder="1" applyAlignment="1">
      <alignment vertical="center" wrapText="1"/>
    </xf>
    <xf numFmtId="0" fontId="45" fillId="34" borderId="16" xfId="0" applyFont="1" applyFill="1" applyBorder="1" applyAlignment="1">
      <alignment horizontal="center" vertical="center"/>
    </xf>
    <xf numFmtId="0" fontId="45" fillId="34" borderId="29" xfId="0" applyFont="1" applyFill="1" applyBorder="1" applyAlignment="1">
      <alignment horizontal="center" vertical="center"/>
    </xf>
    <xf numFmtId="0" fontId="45" fillId="34" borderId="19" xfId="0" applyFont="1" applyFill="1" applyBorder="1" applyAlignment="1">
      <alignment horizontal="center" vertical="center"/>
    </xf>
    <xf numFmtId="176" fontId="45" fillId="34" borderId="10" xfId="0" applyNumberFormat="1" applyFont="1" applyFill="1" applyBorder="1" applyAlignment="1">
      <alignment horizontal="center" vertical="center" wrapText="1"/>
    </xf>
    <xf numFmtId="176" fontId="45" fillId="34" borderId="11" xfId="0" applyNumberFormat="1" applyFont="1" applyFill="1" applyBorder="1" applyAlignment="1">
      <alignment horizontal="center" vertical="center" wrapText="1"/>
    </xf>
    <xf numFmtId="176" fontId="45" fillId="34" borderId="33" xfId="0" applyNumberFormat="1" applyFont="1" applyFill="1" applyBorder="1" applyAlignment="1">
      <alignment horizontal="center" vertical="center"/>
    </xf>
    <xf numFmtId="176" fontId="45" fillId="34" borderId="34" xfId="0" applyNumberFormat="1" applyFont="1" applyFill="1" applyBorder="1" applyAlignment="1">
      <alignment horizontal="center" vertical="center"/>
    </xf>
    <xf numFmtId="176" fontId="45" fillId="34" borderId="35" xfId="0" applyNumberFormat="1" applyFont="1" applyFill="1" applyBorder="1" applyAlignment="1">
      <alignment horizontal="center" vertical="center"/>
    </xf>
    <xf numFmtId="176" fontId="45" fillId="34" borderId="36" xfId="0" applyNumberFormat="1" applyFont="1" applyFill="1" applyBorder="1" applyAlignment="1">
      <alignment horizontal="center" vertical="center"/>
    </xf>
    <xf numFmtId="176" fontId="45" fillId="34" borderId="37" xfId="0" applyNumberFormat="1" applyFont="1" applyFill="1" applyBorder="1" applyAlignment="1">
      <alignment horizontal="center" vertical="center"/>
    </xf>
    <xf numFmtId="176" fontId="45" fillId="34" borderId="38" xfId="0" applyNumberFormat="1" applyFont="1" applyFill="1" applyBorder="1" applyAlignment="1">
      <alignment horizontal="center" vertical="center"/>
    </xf>
    <xf numFmtId="0" fontId="45" fillId="0" borderId="12" xfId="0" applyFont="1" applyBorder="1" applyAlignment="1">
      <alignment horizontal="left" vertical="center" wrapText="1"/>
    </xf>
    <xf numFmtId="0" fontId="45" fillId="0" borderId="30" xfId="0" applyFont="1" applyFill="1" applyBorder="1" applyAlignment="1">
      <alignment horizontal="center" vertical="center"/>
    </xf>
    <xf numFmtId="0" fontId="45" fillId="0" borderId="18" xfId="0" applyFont="1" applyFill="1" applyBorder="1" applyAlignment="1">
      <alignment vertical="center" wrapText="1"/>
    </xf>
    <xf numFmtId="0" fontId="45" fillId="0" borderId="32" xfId="0" applyFont="1" applyFill="1" applyBorder="1" applyAlignment="1">
      <alignment horizontal="center" vertical="center"/>
    </xf>
    <xf numFmtId="0" fontId="45" fillId="0" borderId="19" xfId="0" applyFont="1" applyFill="1" applyBorder="1" applyAlignment="1">
      <alignment vertical="center"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zoomScalePageLayoutView="0" workbookViewId="0" topLeftCell="A1">
      <selection activeCell="C9" sqref="C9"/>
    </sheetView>
  </sheetViews>
  <sheetFormatPr defaultColWidth="8.8515625" defaultRowHeight="15"/>
  <cols>
    <col min="1" max="1" width="41.28125" style="2" customWidth="1"/>
    <col min="2" max="2" width="45.8515625" style="2" customWidth="1"/>
    <col min="3" max="16384" width="8.8515625" style="2" customWidth="1"/>
  </cols>
  <sheetData>
    <row r="1" ht="18.75">
      <c r="A1" s="1" t="s">
        <v>1072</v>
      </c>
    </row>
    <row r="2" ht="18.75">
      <c r="A2" s="1" t="s">
        <v>1073</v>
      </c>
    </row>
    <row r="5" spans="1:2" ht="34.5">
      <c r="A5" s="6" t="s">
        <v>1083</v>
      </c>
      <c r="B5" s="3"/>
    </row>
    <row r="6" spans="1:2" ht="18.75">
      <c r="A6" s="4" t="s">
        <v>1074</v>
      </c>
      <c r="B6" s="3"/>
    </row>
    <row r="7" spans="1:2" ht="75">
      <c r="A7" s="7" t="s">
        <v>1075</v>
      </c>
      <c r="B7" s="5" t="s">
        <v>1076</v>
      </c>
    </row>
    <row r="8" spans="1:2" ht="30">
      <c r="A8" s="7" t="s">
        <v>1077</v>
      </c>
      <c r="B8" s="5" t="s">
        <v>1078</v>
      </c>
    </row>
    <row r="9" spans="1:2" ht="90">
      <c r="A9" s="7" t="s">
        <v>79</v>
      </c>
      <c r="B9" s="5" t="s">
        <v>1079</v>
      </c>
    </row>
    <row r="10" spans="1:2" ht="75">
      <c r="A10" s="7" t="s">
        <v>84</v>
      </c>
      <c r="B10" s="5" t="s">
        <v>1080</v>
      </c>
    </row>
    <row r="11" spans="1:2" ht="18.75">
      <c r="A11" s="7" t="s">
        <v>1084</v>
      </c>
      <c r="B11" s="99" t="s">
        <v>1082</v>
      </c>
    </row>
    <row r="12" spans="1:2" ht="18.75">
      <c r="A12" s="7" t="s">
        <v>1081</v>
      </c>
      <c r="B12" s="99"/>
    </row>
  </sheetData>
  <sheetProtection/>
  <mergeCells count="1">
    <mergeCell ref="B11:B1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4"/>
  </sheetPr>
  <dimension ref="A1:P22"/>
  <sheetViews>
    <sheetView zoomScalePageLayoutView="0" workbookViewId="0" topLeftCell="A1">
      <selection activeCell="A2" sqref="A2:B2"/>
    </sheetView>
  </sheetViews>
  <sheetFormatPr defaultColWidth="8.8515625" defaultRowHeight="15"/>
  <cols>
    <col min="1" max="1" width="8.8515625" style="3" customWidth="1"/>
    <col min="2" max="2" width="42.7109375" style="3" customWidth="1"/>
    <col min="3" max="11" width="8.8515625" style="3" customWidth="1"/>
    <col min="12" max="12" width="9.00390625" style="3" customWidth="1"/>
    <col min="13" max="13" width="11.28125" style="3" customWidth="1"/>
    <col min="14" max="14" width="13.8515625" style="3" customWidth="1"/>
    <col min="15" max="15" width="14.421875" style="3" customWidth="1"/>
    <col min="16" max="16" width="14.28125" style="3" bestFit="1" customWidth="1"/>
    <col min="17" max="16384" width="8.8515625" style="3" customWidth="1"/>
  </cols>
  <sheetData>
    <row r="1" spans="1:2" ht="15">
      <c r="A1" s="217" t="s">
        <v>277</v>
      </c>
      <c r="B1" s="217"/>
    </row>
    <row r="2" spans="1:2" ht="15">
      <c r="A2" s="217" t="s">
        <v>315</v>
      </c>
      <c r="B2" s="217"/>
    </row>
    <row r="3" ht="15.75" thickBot="1">
      <c r="B3" s="9"/>
    </row>
    <row r="4" spans="1:16" ht="14.25" customHeight="1" thickBot="1">
      <c r="A4" s="104" t="s">
        <v>1583</v>
      </c>
      <c r="B4" s="100" t="s">
        <v>1</v>
      </c>
      <c r="C4" s="100" t="s">
        <v>2</v>
      </c>
      <c r="D4" s="100" t="s">
        <v>316</v>
      </c>
      <c r="E4" s="10" t="s">
        <v>317</v>
      </c>
      <c r="F4" s="10" t="s">
        <v>320</v>
      </c>
      <c r="G4" s="10" t="s">
        <v>322</v>
      </c>
      <c r="H4" s="10" t="s">
        <v>325</v>
      </c>
      <c r="I4" s="10" t="s">
        <v>206</v>
      </c>
      <c r="J4" s="100" t="s">
        <v>5</v>
      </c>
      <c r="K4" s="119" t="s">
        <v>79</v>
      </c>
      <c r="L4" s="177"/>
      <c r="M4" s="100" t="s">
        <v>1334</v>
      </c>
      <c r="N4" s="102" t="s">
        <v>1576</v>
      </c>
      <c r="O4" s="102"/>
      <c r="P4" s="102"/>
    </row>
    <row r="5" spans="1:16" ht="30.75" thickBot="1">
      <c r="A5" s="104"/>
      <c r="B5" s="109"/>
      <c r="C5" s="109"/>
      <c r="D5" s="109"/>
      <c r="E5" s="16" t="s">
        <v>318</v>
      </c>
      <c r="F5" s="16" t="s">
        <v>321</v>
      </c>
      <c r="G5" s="16" t="s">
        <v>323</v>
      </c>
      <c r="H5" s="16" t="s">
        <v>326</v>
      </c>
      <c r="I5" s="16" t="s">
        <v>327</v>
      </c>
      <c r="J5" s="109"/>
      <c r="K5" s="120"/>
      <c r="L5" s="178"/>
      <c r="M5" s="109"/>
      <c r="N5" s="102"/>
      <c r="O5" s="102"/>
      <c r="P5" s="102"/>
    </row>
    <row r="6" spans="1:16" ht="30.75" thickBot="1">
      <c r="A6" s="104"/>
      <c r="B6" s="109"/>
      <c r="C6" s="109"/>
      <c r="D6" s="101"/>
      <c r="E6" s="11" t="s">
        <v>319</v>
      </c>
      <c r="F6" s="11"/>
      <c r="G6" s="11" t="s">
        <v>324</v>
      </c>
      <c r="H6" s="11" t="s">
        <v>319</v>
      </c>
      <c r="I6" s="11"/>
      <c r="J6" s="109"/>
      <c r="K6" s="179"/>
      <c r="L6" s="180"/>
      <c r="M6" s="109"/>
      <c r="N6" s="102"/>
      <c r="O6" s="102"/>
      <c r="P6" s="102"/>
    </row>
    <row r="7" spans="1:16" ht="15.75" thickBot="1">
      <c r="A7" s="104"/>
      <c r="B7" s="101"/>
      <c r="C7" s="101"/>
      <c r="D7" s="110" t="s">
        <v>26</v>
      </c>
      <c r="E7" s="111"/>
      <c r="F7" s="111"/>
      <c r="G7" s="111"/>
      <c r="H7" s="111"/>
      <c r="I7" s="112"/>
      <c r="J7" s="101"/>
      <c r="K7" s="13" t="s">
        <v>146</v>
      </c>
      <c r="L7" s="13" t="s">
        <v>84</v>
      </c>
      <c r="M7" s="101"/>
      <c r="N7" s="40" t="s">
        <v>1577</v>
      </c>
      <c r="O7" s="40" t="s">
        <v>1578</v>
      </c>
      <c r="P7" s="40" t="s">
        <v>1579</v>
      </c>
    </row>
    <row r="8" spans="1:16" ht="15.75" customHeight="1" thickBot="1">
      <c r="A8" s="104" t="s">
        <v>1584</v>
      </c>
      <c r="B8" s="14" t="s">
        <v>328</v>
      </c>
      <c r="C8" s="100" t="s">
        <v>1085</v>
      </c>
      <c r="D8" s="100" t="s">
        <v>330</v>
      </c>
      <c r="E8" s="107">
        <v>5.19</v>
      </c>
      <c r="F8" s="100" t="s">
        <v>30</v>
      </c>
      <c r="G8" s="100" t="s">
        <v>331</v>
      </c>
      <c r="H8" s="107">
        <v>4.22</v>
      </c>
      <c r="I8" s="10" t="s">
        <v>332</v>
      </c>
      <c r="J8" s="100" t="s">
        <v>336</v>
      </c>
      <c r="K8" s="107">
        <v>1.01</v>
      </c>
      <c r="L8" s="100" t="s">
        <v>1329</v>
      </c>
      <c r="M8" s="114" t="s">
        <v>1405</v>
      </c>
      <c r="N8" s="144">
        <f>112200*0.7*0.00336</f>
        <v>263.8944</v>
      </c>
      <c r="O8" s="144">
        <f>112200*0.3*0.00336</f>
        <v>113.0976</v>
      </c>
      <c r="P8" s="144">
        <v>0</v>
      </c>
    </row>
    <row r="9" spans="1:16" ht="15.75" thickBot="1">
      <c r="A9" s="104"/>
      <c r="B9" s="17" t="s">
        <v>329</v>
      </c>
      <c r="C9" s="101"/>
      <c r="D9" s="101"/>
      <c r="E9" s="108"/>
      <c r="F9" s="101"/>
      <c r="G9" s="101"/>
      <c r="H9" s="108"/>
      <c r="I9" s="16" t="s">
        <v>333</v>
      </c>
      <c r="J9" s="101"/>
      <c r="K9" s="108"/>
      <c r="L9" s="101"/>
      <c r="M9" s="115"/>
      <c r="N9" s="146"/>
      <c r="O9" s="146"/>
      <c r="P9" s="146"/>
    </row>
    <row r="10" spans="1:16" ht="15.75" thickBot="1">
      <c r="A10" s="104" t="s">
        <v>1585</v>
      </c>
      <c r="B10" s="14" t="s">
        <v>337</v>
      </c>
      <c r="C10" s="100" t="s">
        <v>1085</v>
      </c>
      <c r="D10" s="100" t="s">
        <v>339</v>
      </c>
      <c r="E10" s="100" t="s">
        <v>340</v>
      </c>
      <c r="F10" s="100" t="s">
        <v>341</v>
      </c>
      <c r="G10" s="107">
        <v>3.26</v>
      </c>
      <c r="H10" s="100" t="s">
        <v>342</v>
      </c>
      <c r="I10" s="16" t="s">
        <v>334</v>
      </c>
      <c r="J10" s="100" t="s">
        <v>336</v>
      </c>
      <c r="K10" s="107">
        <v>1.01</v>
      </c>
      <c r="L10" s="100" t="s">
        <v>1329</v>
      </c>
      <c r="M10" s="114" t="s">
        <v>1406</v>
      </c>
      <c r="N10" s="144">
        <f>111300*0.7*0.00336</f>
        <v>261.7776</v>
      </c>
      <c r="O10" s="144">
        <f>111300*0.3*0.00336</f>
        <v>112.19040000000001</v>
      </c>
      <c r="P10" s="144">
        <v>0</v>
      </c>
    </row>
    <row r="11" spans="1:16" ht="15.75" thickBot="1">
      <c r="A11" s="104"/>
      <c r="B11" s="17" t="s">
        <v>338</v>
      </c>
      <c r="C11" s="101"/>
      <c r="D11" s="101"/>
      <c r="E11" s="101"/>
      <c r="F11" s="101"/>
      <c r="G11" s="108"/>
      <c r="H11" s="101"/>
      <c r="I11" s="16" t="s">
        <v>335</v>
      </c>
      <c r="J11" s="101"/>
      <c r="K11" s="108"/>
      <c r="L11" s="101"/>
      <c r="M11" s="115"/>
      <c r="N11" s="146"/>
      <c r="O11" s="146"/>
      <c r="P11" s="146"/>
    </row>
    <row r="12" spans="1:16" ht="15.75" thickBot="1">
      <c r="A12" s="104" t="s">
        <v>1586</v>
      </c>
      <c r="B12" s="14" t="s">
        <v>343</v>
      </c>
      <c r="C12" s="100" t="s">
        <v>1085</v>
      </c>
      <c r="D12" s="107">
        <v>3.16</v>
      </c>
      <c r="E12" s="105">
        <v>5.3</v>
      </c>
      <c r="F12" s="100" t="s">
        <v>30</v>
      </c>
      <c r="G12" s="100" t="s">
        <v>346</v>
      </c>
      <c r="H12" s="100" t="s">
        <v>347</v>
      </c>
      <c r="I12" s="16"/>
      <c r="J12" s="100" t="s">
        <v>336</v>
      </c>
      <c r="K12" s="107">
        <v>1.01</v>
      </c>
      <c r="L12" s="100" t="s">
        <v>1329</v>
      </c>
      <c r="M12" s="114" t="s">
        <v>1407</v>
      </c>
      <c r="N12" s="144">
        <f>15606*0.00336</f>
        <v>52.43616</v>
      </c>
      <c r="O12" s="144">
        <f>3696*0.00336</f>
        <v>12.418560000000001</v>
      </c>
      <c r="P12" s="144">
        <f>1138*0.00336</f>
        <v>3.82368</v>
      </c>
    </row>
    <row r="13" spans="1:16" ht="15.75" thickBot="1">
      <c r="A13" s="104"/>
      <c r="B13" s="15" t="s">
        <v>344</v>
      </c>
      <c r="C13" s="109"/>
      <c r="D13" s="143"/>
      <c r="E13" s="156"/>
      <c r="F13" s="109"/>
      <c r="G13" s="109"/>
      <c r="H13" s="109"/>
      <c r="I13" s="16"/>
      <c r="J13" s="109"/>
      <c r="K13" s="143"/>
      <c r="L13" s="109"/>
      <c r="M13" s="116"/>
      <c r="N13" s="145"/>
      <c r="O13" s="145"/>
      <c r="P13" s="145"/>
    </row>
    <row r="14" spans="1:16" ht="15.75" thickBot="1">
      <c r="A14" s="104"/>
      <c r="B14" s="17" t="s">
        <v>345</v>
      </c>
      <c r="C14" s="101"/>
      <c r="D14" s="108"/>
      <c r="E14" s="106"/>
      <c r="F14" s="101"/>
      <c r="G14" s="101"/>
      <c r="H14" s="101"/>
      <c r="I14" s="16"/>
      <c r="J14" s="101"/>
      <c r="K14" s="108"/>
      <c r="L14" s="101"/>
      <c r="M14" s="115"/>
      <c r="N14" s="146"/>
      <c r="O14" s="146"/>
      <c r="P14" s="146"/>
    </row>
    <row r="15" spans="1:16" ht="15.75" thickBot="1">
      <c r="A15" s="127" t="s">
        <v>1587</v>
      </c>
      <c r="B15" s="73" t="s">
        <v>348</v>
      </c>
      <c r="C15" s="130" t="s">
        <v>1085</v>
      </c>
      <c r="D15" s="130" t="s">
        <v>235</v>
      </c>
      <c r="E15" s="130" t="s">
        <v>30</v>
      </c>
      <c r="F15" s="130" t="s">
        <v>30</v>
      </c>
      <c r="G15" s="130" t="s">
        <v>30</v>
      </c>
      <c r="H15" s="130" t="s">
        <v>30</v>
      </c>
      <c r="I15" s="97"/>
      <c r="J15" s="130" t="s">
        <v>336</v>
      </c>
      <c r="K15" s="107">
        <v>1.01</v>
      </c>
      <c r="L15" s="130" t="s">
        <v>1329</v>
      </c>
      <c r="M15" s="148" t="s">
        <v>1408</v>
      </c>
      <c r="N15" s="144">
        <f>12625*0.00336</f>
        <v>42.42</v>
      </c>
      <c r="O15" s="144">
        <f>12012*0.00336</f>
        <v>40.36032</v>
      </c>
      <c r="P15" s="144">
        <v>0</v>
      </c>
    </row>
    <row r="16" spans="1:16" ht="15.75" thickBot="1">
      <c r="A16" s="127"/>
      <c r="B16" s="74" t="s">
        <v>349</v>
      </c>
      <c r="C16" s="131"/>
      <c r="D16" s="131"/>
      <c r="E16" s="131"/>
      <c r="F16" s="131"/>
      <c r="G16" s="131"/>
      <c r="H16" s="131"/>
      <c r="I16" s="76"/>
      <c r="J16" s="131"/>
      <c r="K16" s="108"/>
      <c r="L16" s="131"/>
      <c r="M16" s="149"/>
      <c r="N16" s="146"/>
      <c r="O16" s="146"/>
      <c r="P16" s="146"/>
    </row>
    <row r="17" spans="1:16" ht="15.75" thickBot="1">
      <c r="A17" s="104" t="s">
        <v>1589</v>
      </c>
      <c r="B17" s="14" t="s">
        <v>348</v>
      </c>
      <c r="C17" s="100" t="s">
        <v>1085</v>
      </c>
      <c r="D17" s="162">
        <v>1.6</v>
      </c>
      <c r="E17" s="163"/>
      <c r="F17" s="163"/>
      <c r="G17" s="163"/>
      <c r="H17" s="163"/>
      <c r="I17" s="164"/>
      <c r="J17" s="100" t="s">
        <v>336</v>
      </c>
      <c r="K17" s="107">
        <v>1.01</v>
      </c>
      <c r="L17" s="100" t="s">
        <v>1329</v>
      </c>
      <c r="M17" s="114" t="s">
        <v>1409</v>
      </c>
      <c r="N17" s="144">
        <f>84000*0.65*0.00336</f>
        <v>183.45600000000002</v>
      </c>
      <c r="O17" s="144">
        <f>84000*0.35*0.00336</f>
        <v>98.78399999999999</v>
      </c>
      <c r="P17" s="144">
        <v>0</v>
      </c>
    </row>
    <row r="18" spans="1:16" ht="15.75" thickBot="1">
      <c r="A18" s="104"/>
      <c r="B18" s="15" t="s">
        <v>350</v>
      </c>
      <c r="C18" s="109"/>
      <c r="D18" s="165"/>
      <c r="E18" s="166"/>
      <c r="F18" s="166"/>
      <c r="G18" s="166"/>
      <c r="H18" s="166"/>
      <c r="I18" s="167"/>
      <c r="J18" s="109"/>
      <c r="K18" s="143"/>
      <c r="L18" s="109"/>
      <c r="M18" s="116"/>
      <c r="N18" s="145"/>
      <c r="O18" s="145"/>
      <c r="P18" s="145"/>
    </row>
    <row r="19" spans="1:16" ht="15.75" thickBot="1">
      <c r="A19" s="104"/>
      <c r="B19" s="15" t="s">
        <v>351</v>
      </c>
      <c r="C19" s="109"/>
      <c r="D19" s="165"/>
      <c r="E19" s="166"/>
      <c r="F19" s="166"/>
      <c r="G19" s="166"/>
      <c r="H19" s="166"/>
      <c r="I19" s="167"/>
      <c r="J19" s="109"/>
      <c r="K19" s="143"/>
      <c r="L19" s="109"/>
      <c r="M19" s="116"/>
      <c r="N19" s="145"/>
      <c r="O19" s="145"/>
      <c r="P19" s="145"/>
    </row>
    <row r="20" spans="1:16" ht="15.75" thickBot="1">
      <c r="A20" s="104"/>
      <c r="B20" s="17" t="s">
        <v>352</v>
      </c>
      <c r="C20" s="101"/>
      <c r="D20" s="168"/>
      <c r="E20" s="169"/>
      <c r="F20" s="169"/>
      <c r="G20" s="169"/>
      <c r="H20" s="169"/>
      <c r="I20" s="170"/>
      <c r="J20" s="101"/>
      <c r="K20" s="108"/>
      <c r="L20" s="101"/>
      <c r="M20" s="115"/>
      <c r="N20" s="146"/>
      <c r="O20" s="146"/>
      <c r="P20" s="146"/>
    </row>
    <row r="21" spans="1:16" ht="15.75" thickBot="1">
      <c r="A21" s="127" t="s">
        <v>1590</v>
      </c>
      <c r="B21" s="73" t="s">
        <v>353</v>
      </c>
      <c r="C21" s="130" t="s">
        <v>1085</v>
      </c>
      <c r="D21" s="171" t="s">
        <v>355</v>
      </c>
      <c r="E21" s="172"/>
      <c r="F21" s="172"/>
      <c r="G21" s="172"/>
      <c r="H21" s="172"/>
      <c r="I21" s="173"/>
      <c r="J21" s="130" t="s">
        <v>336</v>
      </c>
      <c r="K21" s="107">
        <v>1.01</v>
      </c>
      <c r="L21" s="130" t="s">
        <v>1329</v>
      </c>
      <c r="M21" s="148" t="s">
        <v>1410</v>
      </c>
      <c r="N21" s="144">
        <f>14076*0.00336</f>
        <v>47.29536</v>
      </c>
      <c r="O21" s="144">
        <f>15345*0.00336</f>
        <v>51.559200000000004</v>
      </c>
      <c r="P21" s="144">
        <v>0</v>
      </c>
    </row>
    <row r="22" spans="1:16" ht="15.75" thickBot="1">
      <c r="A22" s="127"/>
      <c r="B22" s="74" t="s">
        <v>354</v>
      </c>
      <c r="C22" s="131"/>
      <c r="D22" s="174"/>
      <c r="E22" s="175"/>
      <c r="F22" s="175"/>
      <c r="G22" s="175"/>
      <c r="H22" s="175"/>
      <c r="I22" s="176"/>
      <c r="J22" s="131"/>
      <c r="K22" s="108"/>
      <c r="L22" s="131"/>
      <c r="M22" s="149"/>
      <c r="N22" s="146"/>
      <c r="O22" s="146"/>
      <c r="P22" s="146"/>
    </row>
  </sheetData>
  <sheetProtection/>
  <mergeCells count="87">
    <mergeCell ref="A1:B1"/>
    <mergeCell ref="A2:B2"/>
    <mergeCell ref="A21:A22"/>
    <mergeCell ref="A4:A7"/>
    <mergeCell ref="A8:A9"/>
    <mergeCell ref="A10:A11"/>
    <mergeCell ref="A12:A14"/>
    <mergeCell ref="A15:A16"/>
    <mergeCell ref="A17:A20"/>
    <mergeCell ref="B4:B7"/>
    <mergeCell ref="C4:C7"/>
    <mergeCell ref="D4:D6"/>
    <mergeCell ref="J4:J7"/>
    <mergeCell ref="K4:L6"/>
    <mergeCell ref="D7:I7"/>
    <mergeCell ref="C8:C9"/>
    <mergeCell ref="D8:D9"/>
    <mergeCell ref="E8:E9"/>
    <mergeCell ref="F8:F9"/>
    <mergeCell ref="G8:G9"/>
    <mergeCell ref="H8:H9"/>
    <mergeCell ref="J8:J9"/>
    <mergeCell ref="K8:K9"/>
    <mergeCell ref="L8:L9"/>
    <mergeCell ref="C10:C11"/>
    <mergeCell ref="D10:D11"/>
    <mergeCell ref="E10:E11"/>
    <mergeCell ref="F10:F11"/>
    <mergeCell ref="G10:G11"/>
    <mergeCell ref="H10:H11"/>
    <mergeCell ref="J10:J11"/>
    <mergeCell ref="K10:K11"/>
    <mergeCell ref="L10:L11"/>
    <mergeCell ref="C12:C14"/>
    <mergeCell ref="D12:D14"/>
    <mergeCell ref="E12:E14"/>
    <mergeCell ref="F12:F14"/>
    <mergeCell ref="G12:G14"/>
    <mergeCell ref="H12:H14"/>
    <mergeCell ref="J12:J14"/>
    <mergeCell ref="K12:K14"/>
    <mergeCell ref="L12:L14"/>
    <mergeCell ref="C15:C16"/>
    <mergeCell ref="D15:D16"/>
    <mergeCell ref="E15:E16"/>
    <mergeCell ref="F15:F16"/>
    <mergeCell ref="G15:G16"/>
    <mergeCell ref="H15:H16"/>
    <mergeCell ref="J15:J16"/>
    <mergeCell ref="K15:K16"/>
    <mergeCell ref="L15:L16"/>
    <mergeCell ref="C17:C20"/>
    <mergeCell ref="D17:I20"/>
    <mergeCell ref="J17:J20"/>
    <mergeCell ref="K17:K20"/>
    <mergeCell ref="L17:L20"/>
    <mergeCell ref="C21:C22"/>
    <mergeCell ref="D21:I22"/>
    <mergeCell ref="J21:J22"/>
    <mergeCell ref="K21:K22"/>
    <mergeCell ref="L21:L22"/>
    <mergeCell ref="M17:M20"/>
    <mergeCell ref="M21:M22"/>
    <mergeCell ref="M4:M7"/>
    <mergeCell ref="M8:M9"/>
    <mergeCell ref="M10:M11"/>
    <mergeCell ref="M12:M14"/>
    <mergeCell ref="M15:M16"/>
    <mergeCell ref="N4:P6"/>
    <mergeCell ref="N8:N9"/>
    <mergeCell ref="O8:O9"/>
    <mergeCell ref="P8:P9"/>
    <mergeCell ref="P10:P11"/>
    <mergeCell ref="O10:O11"/>
    <mergeCell ref="N10:N11"/>
    <mergeCell ref="N12:N14"/>
    <mergeCell ref="O12:O14"/>
    <mergeCell ref="P12:P14"/>
    <mergeCell ref="P15:P16"/>
    <mergeCell ref="O15:O16"/>
    <mergeCell ref="N15:N16"/>
    <mergeCell ref="N17:N20"/>
    <mergeCell ref="O17:O20"/>
    <mergeCell ref="P17:P20"/>
    <mergeCell ref="P21:P22"/>
    <mergeCell ref="O21:O22"/>
    <mergeCell ref="N21:N2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4"/>
  </sheetPr>
  <dimension ref="A1:P25"/>
  <sheetViews>
    <sheetView zoomScalePageLayoutView="0" workbookViewId="0" topLeftCell="A1">
      <selection activeCell="A1" sqref="A1:B2"/>
    </sheetView>
  </sheetViews>
  <sheetFormatPr defaultColWidth="8.8515625" defaultRowHeight="15"/>
  <cols>
    <col min="1" max="1" width="8.8515625" style="3" customWidth="1"/>
    <col min="2" max="2" width="42.00390625" style="3" customWidth="1"/>
    <col min="3" max="11" width="8.8515625" style="3" customWidth="1"/>
    <col min="12" max="12" width="8.7109375" style="3" bestFit="1" customWidth="1"/>
    <col min="13" max="13" width="11.28125" style="3" hidden="1" customWidth="1"/>
    <col min="14" max="16" width="15.7109375" style="3" customWidth="1"/>
    <col min="17" max="16384" width="8.8515625" style="3" customWidth="1"/>
  </cols>
  <sheetData>
    <row r="1" spans="1:2" ht="15">
      <c r="A1" s="217" t="s">
        <v>356</v>
      </c>
      <c r="B1" s="217"/>
    </row>
    <row r="2" spans="1:2" ht="15">
      <c r="A2" s="217" t="s">
        <v>357</v>
      </c>
      <c r="B2" s="217"/>
    </row>
    <row r="3" ht="15.75" thickBot="1">
      <c r="B3" s="9"/>
    </row>
    <row r="4" spans="1:16" ht="15" customHeight="1" thickBot="1">
      <c r="A4" s="114" t="s">
        <v>1583</v>
      </c>
      <c r="B4" s="100" t="s">
        <v>1</v>
      </c>
      <c r="C4" s="100" t="s">
        <v>2</v>
      </c>
      <c r="D4" s="110" t="s">
        <v>358</v>
      </c>
      <c r="E4" s="111"/>
      <c r="F4" s="111"/>
      <c r="G4" s="111"/>
      <c r="H4" s="111"/>
      <c r="I4" s="112"/>
      <c r="J4" s="100" t="s">
        <v>5</v>
      </c>
      <c r="K4" s="119" t="s">
        <v>79</v>
      </c>
      <c r="L4" s="177"/>
      <c r="M4" s="100" t="s">
        <v>1334</v>
      </c>
      <c r="N4" s="102" t="s">
        <v>1576</v>
      </c>
      <c r="O4" s="102"/>
      <c r="P4" s="102"/>
    </row>
    <row r="5" spans="1:16" ht="15.75" thickBot="1">
      <c r="A5" s="116"/>
      <c r="B5" s="109"/>
      <c r="C5" s="109"/>
      <c r="D5" s="13" t="s">
        <v>359</v>
      </c>
      <c r="E5" s="13" t="s">
        <v>360</v>
      </c>
      <c r="F5" s="13" t="s">
        <v>361</v>
      </c>
      <c r="G5" s="13" t="s">
        <v>362</v>
      </c>
      <c r="H5" s="13" t="s">
        <v>363</v>
      </c>
      <c r="I5" s="13" t="s">
        <v>364</v>
      </c>
      <c r="J5" s="109"/>
      <c r="K5" s="179"/>
      <c r="L5" s="180"/>
      <c r="M5" s="109"/>
      <c r="N5" s="102"/>
      <c r="O5" s="102"/>
      <c r="P5" s="102"/>
    </row>
    <row r="6" spans="1:16" ht="15.75" thickBot="1">
      <c r="A6" s="115"/>
      <c r="B6" s="101"/>
      <c r="C6" s="101"/>
      <c r="D6" s="110" t="s">
        <v>26</v>
      </c>
      <c r="E6" s="111"/>
      <c r="F6" s="111"/>
      <c r="G6" s="111"/>
      <c r="H6" s="111"/>
      <c r="I6" s="112"/>
      <c r="J6" s="101"/>
      <c r="K6" s="13" t="s">
        <v>146</v>
      </c>
      <c r="L6" s="13" t="s">
        <v>84</v>
      </c>
      <c r="M6" s="109"/>
      <c r="N6" s="40" t="s">
        <v>1577</v>
      </c>
      <c r="O6" s="40" t="s">
        <v>1578</v>
      </c>
      <c r="P6" s="40" t="s">
        <v>1579</v>
      </c>
    </row>
    <row r="7" spans="1:16" ht="30.75" customHeight="1" thickBot="1">
      <c r="A7" s="114" t="s">
        <v>1584</v>
      </c>
      <c r="B7" s="73" t="s">
        <v>365</v>
      </c>
      <c r="C7" s="75" t="s">
        <v>367</v>
      </c>
      <c r="D7" s="75" t="s">
        <v>75</v>
      </c>
      <c r="E7" s="75" t="s">
        <v>76</v>
      </c>
      <c r="F7" s="75" t="s">
        <v>284</v>
      </c>
      <c r="G7" s="130" t="s">
        <v>30</v>
      </c>
      <c r="H7" s="130" t="s">
        <v>30</v>
      </c>
      <c r="I7" s="130" t="s">
        <v>30</v>
      </c>
      <c r="J7" s="75" t="s">
        <v>371</v>
      </c>
      <c r="K7" s="107">
        <v>1.01</v>
      </c>
      <c r="L7" s="75" t="s">
        <v>372</v>
      </c>
      <c r="M7" s="182" t="s">
        <v>1411</v>
      </c>
      <c r="N7" s="144">
        <f>7084*0.00336</f>
        <v>23.80224</v>
      </c>
      <c r="O7" s="144">
        <f>693*0.00336</f>
        <v>2.32848</v>
      </c>
      <c r="P7" s="144">
        <v>0</v>
      </c>
    </row>
    <row r="8" spans="1:16" ht="30.75" thickBot="1">
      <c r="A8" s="116"/>
      <c r="B8" s="98" t="s">
        <v>366</v>
      </c>
      <c r="C8" s="97" t="s">
        <v>368</v>
      </c>
      <c r="D8" s="97" t="s">
        <v>75</v>
      </c>
      <c r="E8" s="97" t="s">
        <v>76</v>
      </c>
      <c r="F8" s="97" t="s">
        <v>284</v>
      </c>
      <c r="G8" s="153"/>
      <c r="H8" s="153"/>
      <c r="I8" s="153"/>
      <c r="J8" s="97" t="s">
        <v>1567</v>
      </c>
      <c r="K8" s="143"/>
      <c r="L8" s="97" t="s">
        <v>373</v>
      </c>
      <c r="M8" s="182"/>
      <c r="N8" s="145"/>
      <c r="O8" s="145"/>
      <c r="P8" s="145"/>
    </row>
    <row r="9" spans="1:16" ht="15.75" thickBot="1">
      <c r="A9" s="115"/>
      <c r="B9" s="74"/>
      <c r="C9" s="76"/>
      <c r="D9" s="76" t="s">
        <v>369</v>
      </c>
      <c r="E9" s="76" t="s">
        <v>370</v>
      </c>
      <c r="F9" s="70">
        <v>1.14</v>
      </c>
      <c r="G9" s="131"/>
      <c r="H9" s="131"/>
      <c r="I9" s="131"/>
      <c r="J9" s="76" t="s">
        <v>9</v>
      </c>
      <c r="K9" s="108"/>
      <c r="L9" s="76"/>
      <c r="M9" s="182"/>
      <c r="N9" s="146"/>
      <c r="O9" s="146"/>
      <c r="P9" s="146"/>
    </row>
    <row r="10" spans="1:16" ht="30" customHeight="1">
      <c r="A10" s="114" t="s">
        <v>1585</v>
      </c>
      <c r="B10" s="14" t="s">
        <v>374</v>
      </c>
      <c r="C10" s="10" t="s">
        <v>367</v>
      </c>
      <c r="D10" s="100" t="s">
        <v>30</v>
      </c>
      <c r="E10" s="10" t="s">
        <v>376</v>
      </c>
      <c r="F10" s="10" t="s">
        <v>136</v>
      </c>
      <c r="G10" s="10" t="s">
        <v>379</v>
      </c>
      <c r="H10" s="100" t="s">
        <v>30</v>
      </c>
      <c r="I10" s="100" t="s">
        <v>30</v>
      </c>
      <c r="J10" s="10" t="s">
        <v>371</v>
      </c>
      <c r="K10" s="10" t="s">
        <v>381</v>
      </c>
      <c r="L10" s="10" t="s">
        <v>372</v>
      </c>
      <c r="M10" s="114" t="s">
        <v>1412</v>
      </c>
      <c r="N10" s="144">
        <f>210000*0.7*0.00336</f>
        <v>493.92</v>
      </c>
      <c r="O10" s="144">
        <f>210000*0.3*0.00336</f>
        <v>211.68</v>
      </c>
      <c r="P10" s="144">
        <v>0</v>
      </c>
    </row>
    <row r="11" spans="1:16" ht="30">
      <c r="A11" s="116"/>
      <c r="B11" s="15" t="s">
        <v>375</v>
      </c>
      <c r="C11" s="16" t="s">
        <v>368</v>
      </c>
      <c r="D11" s="109"/>
      <c r="E11" s="16" t="s">
        <v>377</v>
      </c>
      <c r="F11" s="30">
        <v>1.26</v>
      </c>
      <c r="G11" s="16" t="s">
        <v>380</v>
      </c>
      <c r="H11" s="109"/>
      <c r="I11" s="109"/>
      <c r="J11" s="16" t="s">
        <v>1567</v>
      </c>
      <c r="K11" s="16" t="s">
        <v>1203</v>
      </c>
      <c r="L11" s="16" t="s">
        <v>382</v>
      </c>
      <c r="M11" s="116"/>
      <c r="N11" s="145"/>
      <c r="O11" s="145"/>
      <c r="P11" s="145"/>
    </row>
    <row r="12" spans="1:16" ht="18" thickBot="1">
      <c r="A12" s="115"/>
      <c r="B12" s="17"/>
      <c r="C12" s="11"/>
      <c r="D12" s="101"/>
      <c r="E12" s="11" t="s">
        <v>378</v>
      </c>
      <c r="F12" s="28">
        <v>1.26</v>
      </c>
      <c r="G12" s="28">
        <v>1.4</v>
      </c>
      <c r="H12" s="101"/>
      <c r="I12" s="101"/>
      <c r="J12" s="11" t="s">
        <v>9</v>
      </c>
      <c r="K12" s="11"/>
      <c r="L12" s="11" t="s">
        <v>1174</v>
      </c>
      <c r="M12" s="115"/>
      <c r="N12" s="146"/>
      <c r="O12" s="146"/>
      <c r="P12" s="146"/>
    </row>
    <row r="13" spans="1:16" ht="30" customHeight="1">
      <c r="A13" s="114" t="s">
        <v>1586</v>
      </c>
      <c r="B13" s="14" t="s">
        <v>383</v>
      </c>
      <c r="C13" s="10" t="s">
        <v>367</v>
      </c>
      <c r="D13" s="10" t="s">
        <v>19</v>
      </c>
      <c r="E13" s="10" t="s">
        <v>49</v>
      </c>
      <c r="F13" s="27">
        <v>1.24</v>
      </c>
      <c r="G13" s="10" t="s">
        <v>387</v>
      </c>
      <c r="H13" s="100" t="s">
        <v>30</v>
      </c>
      <c r="I13" s="100" t="s">
        <v>30</v>
      </c>
      <c r="J13" s="10" t="s">
        <v>371</v>
      </c>
      <c r="K13" s="107">
        <v>1.01</v>
      </c>
      <c r="L13" s="10" t="s">
        <v>372</v>
      </c>
      <c r="M13" s="114" t="s">
        <v>1413</v>
      </c>
      <c r="N13" s="144">
        <f>280000*0.7*0.00336</f>
        <v>658.5600000000001</v>
      </c>
      <c r="O13" s="144">
        <f>280000*0.3*0.00336</f>
        <v>282.24</v>
      </c>
      <c r="P13" s="144">
        <v>0</v>
      </c>
    </row>
    <row r="14" spans="1:16" ht="30">
      <c r="A14" s="116"/>
      <c r="B14" s="15" t="s">
        <v>384</v>
      </c>
      <c r="C14" s="16" t="s">
        <v>368</v>
      </c>
      <c r="D14" s="16" t="s">
        <v>19</v>
      </c>
      <c r="E14" s="16" t="s">
        <v>49</v>
      </c>
      <c r="F14" s="30">
        <v>1.24</v>
      </c>
      <c r="G14" s="16" t="s">
        <v>387</v>
      </c>
      <c r="H14" s="109"/>
      <c r="I14" s="109"/>
      <c r="J14" s="16" t="s">
        <v>1567</v>
      </c>
      <c r="K14" s="143"/>
      <c r="L14" s="16" t="s">
        <v>373</v>
      </c>
      <c r="M14" s="116"/>
      <c r="N14" s="145"/>
      <c r="O14" s="145"/>
      <c r="P14" s="145"/>
    </row>
    <row r="15" spans="1:16" ht="15.75" thickBot="1">
      <c r="A15" s="115"/>
      <c r="B15" s="17"/>
      <c r="C15" s="11"/>
      <c r="D15" s="11" t="s">
        <v>385</v>
      </c>
      <c r="E15" s="11" t="s">
        <v>179</v>
      </c>
      <c r="F15" s="11" t="s">
        <v>386</v>
      </c>
      <c r="G15" s="28">
        <v>4.14</v>
      </c>
      <c r="H15" s="101"/>
      <c r="I15" s="101"/>
      <c r="J15" s="11" t="s">
        <v>9</v>
      </c>
      <c r="K15" s="108"/>
      <c r="L15" s="11"/>
      <c r="M15" s="115"/>
      <c r="N15" s="146"/>
      <c r="O15" s="146"/>
      <c r="P15" s="146"/>
    </row>
    <row r="16" spans="1:16" ht="30" customHeight="1">
      <c r="A16" s="114" t="s">
        <v>1587</v>
      </c>
      <c r="B16" s="14" t="s">
        <v>388</v>
      </c>
      <c r="C16" s="10" t="s">
        <v>367</v>
      </c>
      <c r="D16" s="10" t="s">
        <v>390</v>
      </c>
      <c r="E16" s="10" t="s">
        <v>19</v>
      </c>
      <c r="F16" s="10" t="s">
        <v>217</v>
      </c>
      <c r="G16" s="27">
        <v>1.23</v>
      </c>
      <c r="H16" s="10" t="s">
        <v>43</v>
      </c>
      <c r="I16" s="100" t="s">
        <v>30</v>
      </c>
      <c r="J16" s="10" t="s">
        <v>371</v>
      </c>
      <c r="K16" s="107">
        <v>1.01</v>
      </c>
      <c r="L16" s="10" t="s">
        <v>372</v>
      </c>
      <c r="M16" s="114" t="s">
        <v>1414</v>
      </c>
      <c r="N16" s="144">
        <f>11500*0.7*0.00336</f>
        <v>27.048</v>
      </c>
      <c r="O16" s="144">
        <f>11500*0.3*0.00336</f>
        <v>11.592</v>
      </c>
      <c r="P16" s="144">
        <v>0</v>
      </c>
    </row>
    <row r="17" spans="1:16" ht="30">
      <c r="A17" s="116"/>
      <c r="B17" s="15" t="s">
        <v>389</v>
      </c>
      <c r="C17" s="16" t="s">
        <v>368</v>
      </c>
      <c r="D17" s="16" t="s">
        <v>390</v>
      </c>
      <c r="E17" s="16" t="s">
        <v>19</v>
      </c>
      <c r="F17" s="16" t="s">
        <v>217</v>
      </c>
      <c r="G17" s="30">
        <v>1.23</v>
      </c>
      <c r="H17" s="16" t="s">
        <v>43</v>
      </c>
      <c r="I17" s="109"/>
      <c r="J17" s="16" t="s">
        <v>1567</v>
      </c>
      <c r="K17" s="143"/>
      <c r="L17" s="16" t="s">
        <v>373</v>
      </c>
      <c r="M17" s="116"/>
      <c r="N17" s="145"/>
      <c r="O17" s="145"/>
      <c r="P17" s="145"/>
    </row>
    <row r="18" spans="1:16" ht="15.75" thickBot="1">
      <c r="A18" s="115"/>
      <c r="B18" s="17"/>
      <c r="C18" s="11"/>
      <c r="D18" s="11" t="s">
        <v>391</v>
      </c>
      <c r="E18" s="11" t="s">
        <v>385</v>
      </c>
      <c r="F18" s="28">
        <v>1.8</v>
      </c>
      <c r="G18" s="11" t="s">
        <v>392</v>
      </c>
      <c r="H18" s="28">
        <v>8.01</v>
      </c>
      <c r="I18" s="101"/>
      <c r="J18" s="11" t="s">
        <v>9</v>
      </c>
      <c r="K18" s="108"/>
      <c r="L18" s="11"/>
      <c r="M18" s="115"/>
      <c r="N18" s="146"/>
      <c r="O18" s="146"/>
      <c r="P18" s="146"/>
    </row>
    <row r="19" spans="1:16" ht="30" customHeight="1">
      <c r="A19" s="114" t="s">
        <v>1589</v>
      </c>
      <c r="B19" s="73" t="s">
        <v>393</v>
      </c>
      <c r="C19" s="75" t="s">
        <v>367</v>
      </c>
      <c r="D19" s="75" t="s">
        <v>394</v>
      </c>
      <c r="E19" s="75" t="s">
        <v>228</v>
      </c>
      <c r="F19" s="75" t="s">
        <v>395</v>
      </c>
      <c r="G19" s="75" t="s">
        <v>217</v>
      </c>
      <c r="H19" s="130" t="s">
        <v>30</v>
      </c>
      <c r="I19" s="130" t="s">
        <v>30</v>
      </c>
      <c r="J19" s="75" t="s">
        <v>371</v>
      </c>
      <c r="K19" s="75" t="s">
        <v>381</v>
      </c>
      <c r="L19" s="75" t="s">
        <v>372</v>
      </c>
      <c r="M19" s="183" t="s">
        <v>1415</v>
      </c>
      <c r="N19" s="144">
        <f>38513*0.00336</f>
        <v>129.40368</v>
      </c>
      <c r="O19" s="144">
        <f>11880*0.00336</f>
        <v>39.9168</v>
      </c>
      <c r="P19" s="144">
        <v>0</v>
      </c>
    </row>
    <row r="20" spans="1:16" ht="32.25">
      <c r="A20" s="116"/>
      <c r="B20" s="98" t="s">
        <v>384</v>
      </c>
      <c r="C20" s="97" t="s">
        <v>368</v>
      </c>
      <c r="D20" s="97" t="s">
        <v>394</v>
      </c>
      <c r="E20" s="97" t="s">
        <v>228</v>
      </c>
      <c r="F20" s="97" t="s">
        <v>395</v>
      </c>
      <c r="G20" s="97" t="s">
        <v>217</v>
      </c>
      <c r="H20" s="153"/>
      <c r="I20" s="153"/>
      <c r="J20" s="97" t="s">
        <v>1567</v>
      </c>
      <c r="K20" s="97" t="s">
        <v>1132</v>
      </c>
      <c r="L20" s="97" t="s">
        <v>382</v>
      </c>
      <c r="M20" s="184"/>
      <c r="N20" s="145"/>
      <c r="O20" s="145"/>
      <c r="P20" s="145"/>
    </row>
    <row r="21" spans="1:16" ht="18" thickBot="1">
      <c r="A21" s="115"/>
      <c r="B21" s="74"/>
      <c r="C21" s="76"/>
      <c r="D21" s="76" t="s">
        <v>108</v>
      </c>
      <c r="E21" s="76" t="s">
        <v>378</v>
      </c>
      <c r="F21" s="76" t="s">
        <v>66</v>
      </c>
      <c r="G21" s="71">
        <v>1.8</v>
      </c>
      <c r="H21" s="131"/>
      <c r="I21" s="131"/>
      <c r="J21" s="76" t="s">
        <v>9</v>
      </c>
      <c r="K21" s="76"/>
      <c r="L21" s="76" t="s">
        <v>1174</v>
      </c>
      <c r="M21" s="185"/>
      <c r="N21" s="146"/>
      <c r="O21" s="146"/>
      <c r="P21" s="146"/>
    </row>
    <row r="22" spans="1:16" ht="30" customHeight="1">
      <c r="A22" s="114" t="s">
        <v>1590</v>
      </c>
      <c r="B22" s="73" t="s">
        <v>396</v>
      </c>
      <c r="C22" s="75" t="s">
        <v>367</v>
      </c>
      <c r="D22" s="171" t="s">
        <v>123</v>
      </c>
      <c r="E22" s="172"/>
      <c r="F22" s="172"/>
      <c r="G22" s="172"/>
      <c r="H22" s="172"/>
      <c r="I22" s="173"/>
      <c r="J22" s="75" t="s">
        <v>371</v>
      </c>
      <c r="K22" s="75" t="s">
        <v>381</v>
      </c>
      <c r="L22" s="75" t="s">
        <v>372</v>
      </c>
      <c r="M22" s="183" t="s">
        <v>1416</v>
      </c>
      <c r="N22" s="144">
        <f>178520*0.00336</f>
        <v>599.8272000000001</v>
      </c>
      <c r="O22" s="144">
        <f>5511*0.00336</f>
        <v>18.51696</v>
      </c>
      <c r="P22" s="144">
        <v>0</v>
      </c>
    </row>
    <row r="23" spans="1:16" ht="30">
      <c r="A23" s="116"/>
      <c r="B23" s="98" t="s">
        <v>397</v>
      </c>
      <c r="C23" s="97" t="s">
        <v>368</v>
      </c>
      <c r="D23" s="186" t="s">
        <v>123</v>
      </c>
      <c r="E23" s="187"/>
      <c r="F23" s="187"/>
      <c r="G23" s="187"/>
      <c r="H23" s="187"/>
      <c r="I23" s="188"/>
      <c r="J23" s="97" t="s">
        <v>1567</v>
      </c>
      <c r="K23" s="97" t="s">
        <v>1096</v>
      </c>
      <c r="L23" s="97" t="s">
        <v>382</v>
      </c>
      <c r="M23" s="184"/>
      <c r="N23" s="145"/>
      <c r="O23" s="145"/>
      <c r="P23" s="145"/>
    </row>
    <row r="24" spans="1:16" ht="18" thickBot="1">
      <c r="A24" s="115"/>
      <c r="B24" s="74" t="s">
        <v>398</v>
      </c>
      <c r="C24" s="76"/>
      <c r="D24" s="174" t="s">
        <v>370</v>
      </c>
      <c r="E24" s="175"/>
      <c r="F24" s="175"/>
      <c r="G24" s="175"/>
      <c r="H24" s="175"/>
      <c r="I24" s="176"/>
      <c r="J24" s="76" t="s">
        <v>9</v>
      </c>
      <c r="K24" s="76"/>
      <c r="L24" s="76" t="s">
        <v>1174</v>
      </c>
      <c r="M24" s="185"/>
      <c r="N24" s="146"/>
      <c r="O24" s="146"/>
      <c r="P24" s="146"/>
    </row>
    <row r="25" spans="1:16" ht="33" thickBot="1">
      <c r="A25" s="63" t="s">
        <v>1591</v>
      </c>
      <c r="B25" s="46" t="s">
        <v>399</v>
      </c>
      <c r="C25" s="25" t="s">
        <v>1085</v>
      </c>
      <c r="D25" s="189" t="s">
        <v>400</v>
      </c>
      <c r="E25" s="190"/>
      <c r="F25" s="190"/>
      <c r="G25" s="190"/>
      <c r="H25" s="190"/>
      <c r="I25" s="191"/>
      <c r="J25" s="25" t="s">
        <v>9</v>
      </c>
      <c r="K25" s="29">
        <v>1.05</v>
      </c>
      <c r="L25" s="25" t="s">
        <v>1329</v>
      </c>
      <c r="M25" s="52" t="s">
        <v>1417</v>
      </c>
      <c r="N25" s="96">
        <v>0</v>
      </c>
      <c r="O25" s="96">
        <f>39600*0.00336</f>
        <v>133.056</v>
      </c>
      <c r="P25" s="96">
        <v>0</v>
      </c>
    </row>
  </sheetData>
  <sheetProtection/>
  <mergeCells count="59">
    <mergeCell ref="A1:B1"/>
    <mergeCell ref="A2:B2"/>
    <mergeCell ref="A22:A24"/>
    <mergeCell ref="A4:A6"/>
    <mergeCell ref="A7:A9"/>
    <mergeCell ref="A10:A12"/>
    <mergeCell ref="A13:A15"/>
    <mergeCell ref="A16:A18"/>
    <mergeCell ref="A19:A21"/>
    <mergeCell ref="K13:K15"/>
    <mergeCell ref="M22:M24"/>
    <mergeCell ref="N13:N15"/>
    <mergeCell ref="O13:O15"/>
    <mergeCell ref="P13:P15"/>
    <mergeCell ref="D10:D12"/>
    <mergeCell ref="H10:H12"/>
    <mergeCell ref="I10:I12"/>
    <mergeCell ref="G7:G9"/>
    <mergeCell ref="H7:H9"/>
    <mergeCell ref="I7:I9"/>
    <mergeCell ref="K7:K9"/>
    <mergeCell ref="B4:B6"/>
    <mergeCell ref="C4:C6"/>
    <mergeCell ref="D4:I4"/>
    <mergeCell ref="D22:I22"/>
    <mergeCell ref="I16:I18"/>
    <mergeCell ref="K16:K18"/>
    <mergeCell ref="J4:J6"/>
    <mergeCell ref="K4:L5"/>
    <mergeCell ref="D6:I6"/>
    <mergeCell ref="D23:I23"/>
    <mergeCell ref="D24:I24"/>
    <mergeCell ref="D25:I25"/>
    <mergeCell ref="H13:H15"/>
    <mergeCell ref="I13:I15"/>
    <mergeCell ref="H19:H21"/>
    <mergeCell ref="I19:I21"/>
    <mergeCell ref="M4:M6"/>
    <mergeCell ref="M7:M9"/>
    <mergeCell ref="M10:M12"/>
    <mergeCell ref="M13:M15"/>
    <mergeCell ref="M16:M18"/>
    <mergeCell ref="M19:M21"/>
    <mergeCell ref="N4:P5"/>
    <mergeCell ref="N7:N9"/>
    <mergeCell ref="O7:O9"/>
    <mergeCell ref="P7:P9"/>
    <mergeCell ref="P10:P12"/>
    <mergeCell ref="O10:O12"/>
    <mergeCell ref="N10:N12"/>
    <mergeCell ref="P22:P24"/>
    <mergeCell ref="O22:O24"/>
    <mergeCell ref="N22:N24"/>
    <mergeCell ref="P16:P18"/>
    <mergeCell ref="O16:O18"/>
    <mergeCell ref="N16:N18"/>
    <mergeCell ref="N19:N21"/>
    <mergeCell ref="O19:O21"/>
    <mergeCell ref="P19:P2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4"/>
  </sheetPr>
  <dimension ref="A1:O35"/>
  <sheetViews>
    <sheetView zoomScalePageLayoutView="0" workbookViewId="0" topLeftCell="A1">
      <selection activeCell="T15" sqref="T15"/>
    </sheetView>
  </sheetViews>
  <sheetFormatPr defaultColWidth="8.8515625" defaultRowHeight="15"/>
  <cols>
    <col min="1" max="1" width="8.8515625" style="3" customWidth="1"/>
    <col min="2" max="2" width="26.00390625" style="3" customWidth="1"/>
    <col min="3" max="9" width="8.8515625" style="3" customWidth="1"/>
    <col min="10" max="10" width="9.7109375" style="3" customWidth="1"/>
    <col min="11" max="11" width="8.7109375" style="3" customWidth="1"/>
    <col min="12" max="12" width="12.28125" style="3" bestFit="1" customWidth="1"/>
    <col min="13" max="15" width="15.28125" style="3" customWidth="1"/>
    <col min="16" max="16384" width="8.8515625" style="3" customWidth="1"/>
  </cols>
  <sheetData>
    <row r="1" spans="1:2" ht="15">
      <c r="A1" s="217" t="s">
        <v>401</v>
      </c>
      <c r="B1" s="217"/>
    </row>
    <row r="2" ht="15.75" thickBot="1">
      <c r="B2" s="9"/>
    </row>
    <row r="3" spans="1:15" ht="15" customHeight="1" thickBot="1">
      <c r="A3" s="114" t="s">
        <v>1583</v>
      </c>
      <c r="B3" s="100" t="s">
        <v>1</v>
      </c>
      <c r="C3" s="100" t="s">
        <v>2</v>
      </c>
      <c r="D3" s="110" t="s">
        <v>402</v>
      </c>
      <c r="E3" s="111"/>
      <c r="F3" s="111"/>
      <c r="G3" s="111"/>
      <c r="H3" s="111"/>
      <c r="I3" s="111"/>
      <c r="J3" s="112"/>
      <c r="K3" s="100" t="s">
        <v>5</v>
      </c>
      <c r="L3" s="195" t="s">
        <v>1334</v>
      </c>
      <c r="M3" s="102" t="s">
        <v>1576</v>
      </c>
      <c r="N3" s="102"/>
      <c r="O3" s="102"/>
    </row>
    <row r="4" spans="1:15" ht="30.75" thickBot="1">
      <c r="A4" s="116"/>
      <c r="B4" s="109"/>
      <c r="C4" s="109"/>
      <c r="D4" s="10" t="s">
        <v>403</v>
      </c>
      <c r="E4" s="10" t="s">
        <v>405</v>
      </c>
      <c r="F4" s="10" t="s">
        <v>406</v>
      </c>
      <c r="G4" s="10" t="s">
        <v>408</v>
      </c>
      <c r="H4" s="10" t="s">
        <v>411</v>
      </c>
      <c r="I4" s="10" t="s">
        <v>413</v>
      </c>
      <c r="J4" s="10" t="s">
        <v>416</v>
      </c>
      <c r="K4" s="109"/>
      <c r="L4" s="195"/>
      <c r="M4" s="102"/>
      <c r="N4" s="102"/>
      <c r="O4" s="102"/>
    </row>
    <row r="5" spans="1:15" ht="30.75" thickBot="1">
      <c r="A5" s="116"/>
      <c r="B5" s="109"/>
      <c r="C5" s="109"/>
      <c r="D5" s="16" t="s">
        <v>404</v>
      </c>
      <c r="E5" s="16" t="s">
        <v>404</v>
      </c>
      <c r="F5" s="16" t="s">
        <v>407</v>
      </c>
      <c r="G5" s="16" t="s">
        <v>409</v>
      </c>
      <c r="H5" s="16" t="s">
        <v>412</v>
      </c>
      <c r="I5" s="16" t="s">
        <v>414</v>
      </c>
      <c r="J5" s="16" t="s">
        <v>417</v>
      </c>
      <c r="K5" s="109"/>
      <c r="L5" s="195"/>
      <c r="M5" s="102"/>
      <c r="N5" s="102"/>
      <c r="O5" s="102"/>
    </row>
    <row r="6" spans="1:15" ht="30.75" thickBot="1">
      <c r="A6" s="116"/>
      <c r="B6" s="109"/>
      <c r="C6" s="109"/>
      <c r="D6" s="11"/>
      <c r="E6" s="11"/>
      <c r="F6" s="11" t="s">
        <v>404</v>
      </c>
      <c r="G6" s="11" t="s">
        <v>410</v>
      </c>
      <c r="H6" s="11"/>
      <c r="I6" s="11" t="s">
        <v>415</v>
      </c>
      <c r="J6" s="11" t="s">
        <v>418</v>
      </c>
      <c r="K6" s="109"/>
      <c r="L6" s="195"/>
      <c r="M6" s="102"/>
      <c r="N6" s="102"/>
      <c r="O6" s="102"/>
    </row>
    <row r="7" spans="1:15" ht="15.75" thickBot="1">
      <c r="A7" s="115"/>
      <c r="B7" s="101"/>
      <c r="C7" s="101"/>
      <c r="D7" s="110" t="s">
        <v>26</v>
      </c>
      <c r="E7" s="111"/>
      <c r="F7" s="111"/>
      <c r="G7" s="111"/>
      <c r="H7" s="111"/>
      <c r="I7" s="111"/>
      <c r="J7" s="112"/>
      <c r="K7" s="101"/>
      <c r="L7" s="195"/>
      <c r="M7" s="40" t="s">
        <v>1577</v>
      </c>
      <c r="N7" s="40" t="s">
        <v>1578</v>
      </c>
      <c r="O7" s="40" t="s">
        <v>1579</v>
      </c>
    </row>
    <row r="8" spans="1:15" ht="15">
      <c r="A8" s="114" t="s">
        <v>1584</v>
      </c>
      <c r="B8" s="128" t="s">
        <v>423</v>
      </c>
      <c r="C8" s="130" t="s">
        <v>1085</v>
      </c>
      <c r="D8" s="86" t="s">
        <v>424</v>
      </c>
      <c r="E8" s="130" t="s">
        <v>30</v>
      </c>
      <c r="F8" s="130" t="s">
        <v>30</v>
      </c>
      <c r="G8" s="130" t="s">
        <v>30</v>
      </c>
      <c r="H8" s="130" t="s">
        <v>30</v>
      </c>
      <c r="I8" s="130" t="s">
        <v>30</v>
      </c>
      <c r="J8" s="130" t="s">
        <v>30</v>
      </c>
      <c r="K8" s="86" t="s">
        <v>422</v>
      </c>
      <c r="L8" s="148" t="s">
        <v>1418</v>
      </c>
      <c r="M8" s="144">
        <f>5284*0.00336</f>
        <v>17.75424</v>
      </c>
      <c r="N8" s="144">
        <f>4389*0.00336</f>
        <v>14.74704</v>
      </c>
      <c r="O8" s="144">
        <v>0</v>
      </c>
    </row>
    <row r="9" spans="1:15" ht="15.75" thickBot="1">
      <c r="A9" s="115"/>
      <c r="B9" s="129"/>
      <c r="C9" s="131"/>
      <c r="D9" s="83">
        <v>1.4</v>
      </c>
      <c r="E9" s="131"/>
      <c r="F9" s="131"/>
      <c r="G9" s="131"/>
      <c r="H9" s="131"/>
      <c r="I9" s="131"/>
      <c r="J9" s="131"/>
      <c r="K9" s="87" t="s">
        <v>9</v>
      </c>
      <c r="L9" s="149"/>
      <c r="M9" s="146"/>
      <c r="N9" s="146"/>
      <c r="O9" s="146"/>
    </row>
    <row r="10" spans="1:15" ht="15">
      <c r="A10" s="114" t="s">
        <v>1585</v>
      </c>
      <c r="B10" s="88" t="s">
        <v>425</v>
      </c>
      <c r="C10" s="100" t="s">
        <v>1637</v>
      </c>
      <c r="D10" s="78" t="s">
        <v>428</v>
      </c>
      <c r="E10" s="100" t="s">
        <v>30</v>
      </c>
      <c r="F10" s="100" t="s">
        <v>30</v>
      </c>
      <c r="G10" s="100" t="s">
        <v>30</v>
      </c>
      <c r="H10" s="100" t="s">
        <v>30</v>
      </c>
      <c r="I10" s="100" t="s">
        <v>30</v>
      </c>
      <c r="J10" s="100" t="s">
        <v>30</v>
      </c>
      <c r="K10" s="78" t="s">
        <v>422</v>
      </c>
      <c r="L10" s="114" t="s">
        <v>1419</v>
      </c>
      <c r="M10" s="144">
        <f>130000*0.55*0.00336</f>
        <v>240.24</v>
      </c>
      <c r="N10" s="144">
        <f>130000*0.45*0.00336</f>
        <v>196.56</v>
      </c>
      <c r="O10" s="144">
        <v>0</v>
      </c>
    </row>
    <row r="11" spans="1:15" ht="15.75" thickBot="1">
      <c r="A11" s="116"/>
      <c r="B11" s="93" t="s">
        <v>426</v>
      </c>
      <c r="C11" s="101"/>
      <c r="D11" s="79" t="s">
        <v>29</v>
      </c>
      <c r="E11" s="101"/>
      <c r="F11" s="101"/>
      <c r="G11" s="101"/>
      <c r="H11" s="101"/>
      <c r="I11" s="101"/>
      <c r="J11" s="101"/>
      <c r="K11" s="79" t="s">
        <v>9</v>
      </c>
      <c r="L11" s="115"/>
      <c r="M11" s="145"/>
      <c r="N11" s="145"/>
      <c r="O11" s="145"/>
    </row>
    <row r="12" spans="1:15" ht="15">
      <c r="A12" s="116"/>
      <c r="B12" s="93" t="s">
        <v>427</v>
      </c>
      <c r="C12" s="100" t="s">
        <v>1637</v>
      </c>
      <c r="D12" s="100" t="s">
        <v>30</v>
      </c>
      <c r="E12" s="100" t="s">
        <v>30</v>
      </c>
      <c r="F12" s="100" t="s">
        <v>30</v>
      </c>
      <c r="G12" s="100" t="s">
        <v>30</v>
      </c>
      <c r="H12" s="100" t="s">
        <v>30</v>
      </c>
      <c r="I12" s="100" t="s">
        <v>30</v>
      </c>
      <c r="J12" s="78" t="s">
        <v>429</v>
      </c>
      <c r="K12" s="78" t="s">
        <v>422</v>
      </c>
      <c r="L12" s="114" t="s">
        <v>1420</v>
      </c>
      <c r="M12" s="145"/>
      <c r="N12" s="145"/>
      <c r="O12" s="145"/>
    </row>
    <row r="13" spans="1:15" ht="15.75" thickBot="1">
      <c r="A13" s="115"/>
      <c r="B13" s="89"/>
      <c r="C13" s="101"/>
      <c r="D13" s="101"/>
      <c r="E13" s="101"/>
      <c r="F13" s="101"/>
      <c r="G13" s="101"/>
      <c r="H13" s="101"/>
      <c r="I13" s="101"/>
      <c r="J13" s="79" t="s">
        <v>430</v>
      </c>
      <c r="K13" s="79" t="s">
        <v>9</v>
      </c>
      <c r="L13" s="115"/>
      <c r="M13" s="146"/>
      <c r="N13" s="146"/>
      <c r="O13" s="146"/>
    </row>
    <row r="14" spans="1:15" ht="15">
      <c r="A14" s="114" t="s">
        <v>1586</v>
      </c>
      <c r="B14" s="132" t="s">
        <v>431</v>
      </c>
      <c r="C14" s="100" t="s">
        <v>1086</v>
      </c>
      <c r="D14" s="78" t="s">
        <v>432</v>
      </c>
      <c r="E14" s="100" t="s">
        <v>30</v>
      </c>
      <c r="F14" s="100" t="s">
        <v>30</v>
      </c>
      <c r="G14" s="100" t="s">
        <v>30</v>
      </c>
      <c r="H14" s="100" t="s">
        <v>30</v>
      </c>
      <c r="I14" s="78" t="s">
        <v>433</v>
      </c>
      <c r="J14" s="100" t="s">
        <v>30</v>
      </c>
      <c r="K14" s="78" t="s">
        <v>422</v>
      </c>
      <c r="L14" s="114" t="s">
        <v>1421</v>
      </c>
      <c r="M14" s="144">
        <f>115000*0.7*0.00336</f>
        <v>270.48</v>
      </c>
      <c r="N14" s="144">
        <f>115000*0.3*0.00336</f>
        <v>115.92</v>
      </c>
      <c r="O14" s="144">
        <v>0</v>
      </c>
    </row>
    <row r="15" spans="1:15" ht="15.75" thickBot="1">
      <c r="A15" s="116"/>
      <c r="B15" s="151"/>
      <c r="C15" s="101"/>
      <c r="D15" s="79" t="s">
        <v>119</v>
      </c>
      <c r="E15" s="101"/>
      <c r="F15" s="101"/>
      <c r="G15" s="101"/>
      <c r="H15" s="101"/>
      <c r="I15" s="79" t="s">
        <v>122</v>
      </c>
      <c r="J15" s="101"/>
      <c r="K15" s="79" t="s">
        <v>9</v>
      </c>
      <c r="L15" s="115"/>
      <c r="M15" s="145"/>
      <c r="N15" s="145"/>
      <c r="O15" s="145"/>
    </row>
    <row r="16" spans="1:15" ht="15">
      <c r="A16" s="116"/>
      <c r="B16" s="151"/>
      <c r="C16" s="100" t="s">
        <v>1637</v>
      </c>
      <c r="D16" s="100" t="s">
        <v>30</v>
      </c>
      <c r="E16" s="100" t="s">
        <v>30</v>
      </c>
      <c r="F16" s="100" t="s">
        <v>30</v>
      </c>
      <c r="G16" s="100" t="s">
        <v>30</v>
      </c>
      <c r="H16" s="100" t="s">
        <v>30</v>
      </c>
      <c r="I16" s="100" t="s">
        <v>30</v>
      </c>
      <c r="J16" s="78" t="s">
        <v>434</v>
      </c>
      <c r="K16" s="78" t="s">
        <v>422</v>
      </c>
      <c r="L16" s="114" t="s">
        <v>1422</v>
      </c>
      <c r="M16" s="145"/>
      <c r="N16" s="145"/>
      <c r="O16" s="145"/>
    </row>
    <row r="17" spans="1:15" ht="15.75" thickBot="1">
      <c r="A17" s="115"/>
      <c r="B17" s="133"/>
      <c r="C17" s="101"/>
      <c r="D17" s="101"/>
      <c r="E17" s="101"/>
      <c r="F17" s="101"/>
      <c r="G17" s="101"/>
      <c r="H17" s="101"/>
      <c r="I17" s="101"/>
      <c r="J17" s="79" t="s">
        <v>103</v>
      </c>
      <c r="K17" s="79" t="s">
        <v>9</v>
      </c>
      <c r="L17" s="115"/>
      <c r="M17" s="146"/>
      <c r="N17" s="146"/>
      <c r="O17" s="146"/>
    </row>
    <row r="18" spans="1:15" ht="15">
      <c r="A18" s="114" t="s">
        <v>1587</v>
      </c>
      <c r="B18" s="88" t="s">
        <v>442</v>
      </c>
      <c r="C18" s="100" t="s">
        <v>1086</v>
      </c>
      <c r="D18" s="78" t="s">
        <v>444</v>
      </c>
      <c r="E18" s="100" t="s">
        <v>30</v>
      </c>
      <c r="F18" s="100" t="s">
        <v>30</v>
      </c>
      <c r="G18" s="100" t="s">
        <v>30</v>
      </c>
      <c r="H18" s="100" t="s">
        <v>30</v>
      </c>
      <c r="I18" s="100" t="s">
        <v>30</v>
      </c>
      <c r="J18" s="100" t="s">
        <v>30</v>
      </c>
      <c r="K18" s="78" t="s">
        <v>422</v>
      </c>
      <c r="L18" s="114" t="s">
        <v>1423</v>
      </c>
      <c r="M18" s="144">
        <f>2857*0.00336</f>
        <v>9.59952</v>
      </c>
      <c r="N18" s="144">
        <f>3102*0.00336</f>
        <v>10.42272</v>
      </c>
      <c r="O18" s="144">
        <v>0</v>
      </c>
    </row>
    <row r="19" spans="1:15" ht="15.75" thickBot="1">
      <c r="A19" s="115"/>
      <c r="B19" s="89" t="s">
        <v>443</v>
      </c>
      <c r="C19" s="101"/>
      <c r="D19" s="79" t="s">
        <v>108</v>
      </c>
      <c r="E19" s="101"/>
      <c r="F19" s="101"/>
      <c r="G19" s="101"/>
      <c r="H19" s="101"/>
      <c r="I19" s="101"/>
      <c r="J19" s="101"/>
      <c r="K19" s="79" t="s">
        <v>9</v>
      </c>
      <c r="L19" s="115"/>
      <c r="M19" s="146"/>
      <c r="N19" s="146"/>
      <c r="O19" s="146"/>
    </row>
    <row r="20" spans="1:15" ht="23.25" customHeight="1" thickBot="1">
      <c r="A20" s="104" t="s">
        <v>1589</v>
      </c>
      <c r="B20" s="231" t="s">
        <v>1641</v>
      </c>
      <c r="C20" s="104" t="s">
        <v>1637</v>
      </c>
      <c r="D20" s="81">
        <v>3.19</v>
      </c>
      <c r="E20" s="81">
        <v>2.72</v>
      </c>
      <c r="F20" s="81">
        <v>2.3</v>
      </c>
      <c r="G20" s="81">
        <v>1.98</v>
      </c>
      <c r="H20" s="81">
        <v>11.48</v>
      </c>
      <c r="I20" s="104" t="s">
        <v>30</v>
      </c>
      <c r="J20" s="104" t="s">
        <v>30</v>
      </c>
      <c r="K20" s="81" t="s">
        <v>422</v>
      </c>
      <c r="L20" s="104">
        <v>0.084</v>
      </c>
      <c r="M20" s="113">
        <f>10050*0.00336</f>
        <v>33.768</v>
      </c>
      <c r="N20" s="113">
        <f>3350*0.00336</f>
        <v>11.256</v>
      </c>
      <c r="O20" s="113">
        <v>0</v>
      </c>
    </row>
    <row r="21" spans="1:15" ht="23.25" customHeight="1" thickBot="1">
      <c r="A21" s="104"/>
      <c r="B21" s="231"/>
      <c r="C21" s="104"/>
      <c r="D21" s="82">
        <v>3.13</v>
      </c>
      <c r="E21" s="82">
        <v>2.92</v>
      </c>
      <c r="F21" s="82">
        <v>2.43</v>
      </c>
      <c r="G21" s="82">
        <v>1.98</v>
      </c>
      <c r="H21" s="82">
        <v>4.51</v>
      </c>
      <c r="I21" s="104"/>
      <c r="J21" s="104"/>
      <c r="K21" s="82" t="s">
        <v>9</v>
      </c>
      <c r="L21" s="104"/>
      <c r="M21" s="113"/>
      <c r="N21" s="113"/>
      <c r="O21" s="113"/>
    </row>
    <row r="22" spans="1:15" ht="23.25" customHeight="1" thickBot="1">
      <c r="A22" s="104" t="s">
        <v>1590</v>
      </c>
      <c r="B22" s="231" t="s">
        <v>1642</v>
      </c>
      <c r="C22" s="104" t="s">
        <v>1637</v>
      </c>
      <c r="D22" s="81">
        <v>3.19</v>
      </c>
      <c r="E22" s="81">
        <v>2.72</v>
      </c>
      <c r="F22" s="81">
        <v>2.3</v>
      </c>
      <c r="G22" s="81">
        <v>1.98</v>
      </c>
      <c r="H22" s="81">
        <v>11.48</v>
      </c>
      <c r="I22" s="104" t="s">
        <v>30</v>
      </c>
      <c r="J22" s="104" t="s">
        <v>30</v>
      </c>
      <c r="K22" s="81" t="s">
        <v>422</v>
      </c>
      <c r="L22" s="104">
        <v>0.084</v>
      </c>
      <c r="M22" s="113">
        <f>10950*0.00336</f>
        <v>36.792</v>
      </c>
      <c r="N22" s="113">
        <f>3650*0.00336</f>
        <v>12.264000000000001</v>
      </c>
      <c r="O22" s="113">
        <v>0</v>
      </c>
    </row>
    <row r="23" spans="1:15" ht="23.25" customHeight="1" thickBot="1">
      <c r="A23" s="104"/>
      <c r="B23" s="231"/>
      <c r="C23" s="104"/>
      <c r="D23" s="82">
        <v>3.13</v>
      </c>
      <c r="E23" s="82">
        <v>2.92</v>
      </c>
      <c r="F23" s="82">
        <v>2.43</v>
      </c>
      <c r="G23" s="82">
        <v>1.98</v>
      </c>
      <c r="H23" s="82">
        <v>4.51</v>
      </c>
      <c r="I23" s="104"/>
      <c r="J23" s="104"/>
      <c r="K23" s="82" t="s">
        <v>9</v>
      </c>
      <c r="L23" s="104"/>
      <c r="M23" s="113"/>
      <c r="N23" s="113"/>
      <c r="O23" s="113"/>
    </row>
    <row r="24" spans="1:15" ht="23.25" customHeight="1" thickBot="1">
      <c r="A24" s="104" t="s">
        <v>1591</v>
      </c>
      <c r="B24" s="231" t="s">
        <v>1643</v>
      </c>
      <c r="C24" s="104" t="s">
        <v>1637</v>
      </c>
      <c r="D24" s="81">
        <v>3.19</v>
      </c>
      <c r="E24" s="81">
        <v>2.72</v>
      </c>
      <c r="F24" s="81">
        <v>2.3</v>
      </c>
      <c r="G24" s="81">
        <v>1.98</v>
      </c>
      <c r="H24" s="81">
        <v>11.48</v>
      </c>
      <c r="I24" s="104" t="s">
        <v>30</v>
      </c>
      <c r="J24" s="104" t="s">
        <v>30</v>
      </c>
      <c r="K24" s="81" t="s">
        <v>422</v>
      </c>
      <c r="L24" s="104">
        <v>0.084</v>
      </c>
      <c r="M24" s="113">
        <f>10950*0.00336</f>
        <v>36.792</v>
      </c>
      <c r="N24" s="113">
        <f>3650*0.00336</f>
        <v>12.264000000000001</v>
      </c>
      <c r="O24" s="113">
        <v>0</v>
      </c>
    </row>
    <row r="25" spans="1:15" ht="23.25" customHeight="1" thickBot="1">
      <c r="A25" s="104"/>
      <c r="B25" s="231"/>
      <c r="C25" s="104"/>
      <c r="D25" s="82">
        <v>3.13</v>
      </c>
      <c r="E25" s="82">
        <v>2.92</v>
      </c>
      <c r="F25" s="82">
        <v>2.43</v>
      </c>
      <c r="G25" s="82">
        <v>1.98</v>
      </c>
      <c r="H25" s="82">
        <v>4.51</v>
      </c>
      <c r="I25" s="104"/>
      <c r="J25" s="104"/>
      <c r="K25" s="82" t="s">
        <v>9</v>
      </c>
      <c r="L25" s="104"/>
      <c r="M25" s="113"/>
      <c r="N25" s="113"/>
      <c r="O25" s="113"/>
    </row>
    <row r="26" spans="1:15" ht="23.25" customHeight="1" thickBot="1">
      <c r="A26" s="114" t="s">
        <v>1592</v>
      </c>
      <c r="B26" s="231" t="s">
        <v>1644</v>
      </c>
      <c r="C26" s="104" t="s">
        <v>1637</v>
      </c>
      <c r="D26" s="81">
        <v>3.19</v>
      </c>
      <c r="E26" s="81">
        <v>2.72</v>
      </c>
      <c r="F26" s="81">
        <v>2.3</v>
      </c>
      <c r="G26" s="81">
        <v>1.98</v>
      </c>
      <c r="H26" s="81">
        <v>11.48</v>
      </c>
      <c r="I26" s="104" t="s">
        <v>30</v>
      </c>
      <c r="J26" s="104" t="s">
        <v>30</v>
      </c>
      <c r="K26" s="81" t="s">
        <v>422</v>
      </c>
      <c r="L26" s="104">
        <v>0.084</v>
      </c>
      <c r="M26" s="113">
        <f>8250*0.00336</f>
        <v>27.720000000000002</v>
      </c>
      <c r="N26" s="113">
        <f>6750*0.00336</f>
        <v>22.68</v>
      </c>
      <c r="O26" s="113">
        <v>0</v>
      </c>
    </row>
    <row r="27" spans="1:15" ht="23.25" customHeight="1" thickBot="1">
      <c r="A27" s="115"/>
      <c r="B27" s="231"/>
      <c r="C27" s="104"/>
      <c r="D27" s="82">
        <v>3.13</v>
      </c>
      <c r="E27" s="82">
        <v>2.92</v>
      </c>
      <c r="F27" s="82">
        <v>2.43</v>
      </c>
      <c r="G27" s="82">
        <v>1.98</v>
      </c>
      <c r="H27" s="82">
        <v>4.51</v>
      </c>
      <c r="I27" s="104"/>
      <c r="J27" s="104"/>
      <c r="K27" s="82" t="s">
        <v>9</v>
      </c>
      <c r="L27" s="104"/>
      <c r="M27" s="113"/>
      <c r="N27" s="113"/>
      <c r="O27" s="113"/>
    </row>
    <row r="28" spans="1:15" ht="27" customHeight="1" thickBot="1">
      <c r="A28" s="114" t="s">
        <v>1593</v>
      </c>
      <c r="B28" s="231" t="s">
        <v>1645</v>
      </c>
      <c r="C28" s="104" t="s">
        <v>1637</v>
      </c>
      <c r="D28" s="81">
        <v>3.19</v>
      </c>
      <c r="E28" s="81">
        <v>2.72</v>
      </c>
      <c r="F28" s="81">
        <v>2.3</v>
      </c>
      <c r="G28" s="81">
        <v>1.98</v>
      </c>
      <c r="H28" s="81">
        <v>11.48</v>
      </c>
      <c r="I28" s="104" t="s">
        <v>30</v>
      </c>
      <c r="J28" s="104" t="s">
        <v>30</v>
      </c>
      <c r="K28" s="81" t="s">
        <v>422</v>
      </c>
      <c r="L28" s="104">
        <v>0.084</v>
      </c>
      <c r="M28" s="113">
        <f>16005*0.00336</f>
        <v>53.7768</v>
      </c>
      <c r="N28" s="113">
        <f>13095*0.00336</f>
        <v>43.9992</v>
      </c>
      <c r="O28" s="113">
        <v>0</v>
      </c>
    </row>
    <row r="29" spans="1:15" ht="20.25" customHeight="1" thickBot="1">
      <c r="A29" s="115"/>
      <c r="B29" s="231"/>
      <c r="C29" s="104"/>
      <c r="D29" s="82">
        <v>3.13</v>
      </c>
      <c r="E29" s="82">
        <v>2.92</v>
      </c>
      <c r="F29" s="82">
        <v>2.43</v>
      </c>
      <c r="G29" s="82">
        <v>1.98</v>
      </c>
      <c r="H29" s="82">
        <v>4.51</v>
      </c>
      <c r="I29" s="104"/>
      <c r="J29" s="104"/>
      <c r="K29" s="82" t="s">
        <v>9</v>
      </c>
      <c r="L29" s="104"/>
      <c r="M29" s="113"/>
      <c r="N29" s="113"/>
      <c r="O29" s="113"/>
    </row>
    <row r="30" spans="1:15" ht="23.25" customHeight="1" thickBot="1">
      <c r="A30" s="104" t="s">
        <v>1594</v>
      </c>
      <c r="B30" s="231" t="s">
        <v>1646</v>
      </c>
      <c r="C30" s="104" t="s">
        <v>1637</v>
      </c>
      <c r="D30" s="81">
        <v>0.41</v>
      </c>
      <c r="E30" s="114" t="s">
        <v>30</v>
      </c>
      <c r="F30" s="81">
        <v>0.76</v>
      </c>
      <c r="G30" s="81">
        <v>0.65</v>
      </c>
      <c r="H30" s="114" t="s">
        <v>30</v>
      </c>
      <c r="I30" s="81">
        <v>0.42</v>
      </c>
      <c r="J30" s="104" t="s">
        <v>30</v>
      </c>
      <c r="K30" s="81" t="s">
        <v>422</v>
      </c>
      <c r="L30" s="104">
        <v>0.091</v>
      </c>
      <c r="M30" s="113">
        <f>5600*0.00336</f>
        <v>18.816000000000003</v>
      </c>
      <c r="N30" s="113">
        <f>2400*0.00336</f>
        <v>8.064</v>
      </c>
      <c r="O30" s="113">
        <v>0</v>
      </c>
    </row>
    <row r="31" spans="1:15" ht="26.25" customHeight="1" thickBot="1">
      <c r="A31" s="104"/>
      <c r="B31" s="231"/>
      <c r="C31" s="104"/>
      <c r="D31" s="82">
        <v>0.15</v>
      </c>
      <c r="E31" s="115"/>
      <c r="F31" s="82">
        <v>0.27</v>
      </c>
      <c r="G31" s="82">
        <v>0.24</v>
      </c>
      <c r="H31" s="115"/>
      <c r="I31" s="82">
        <v>0.61</v>
      </c>
      <c r="J31" s="104"/>
      <c r="K31" s="82" t="s">
        <v>9</v>
      </c>
      <c r="L31" s="104"/>
      <c r="M31" s="113"/>
      <c r="N31" s="113"/>
      <c r="O31" s="113"/>
    </row>
    <row r="32" spans="1:15" ht="21" customHeight="1" thickBot="1">
      <c r="A32" s="104" t="s">
        <v>1595</v>
      </c>
      <c r="B32" s="231" t="s">
        <v>1647</v>
      </c>
      <c r="C32" s="104" t="s">
        <v>1637</v>
      </c>
      <c r="D32" s="81">
        <v>0.41</v>
      </c>
      <c r="E32" s="114" t="s">
        <v>30</v>
      </c>
      <c r="F32" s="81">
        <v>0.76</v>
      </c>
      <c r="G32" s="81">
        <v>0.65</v>
      </c>
      <c r="H32" s="114" t="s">
        <v>30</v>
      </c>
      <c r="I32" s="81">
        <v>0.42</v>
      </c>
      <c r="J32" s="104" t="s">
        <v>30</v>
      </c>
      <c r="K32" s="81" t="s">
        <v>422</v>
      </c>
      <c r="L32" s="104">
        <v>0.091</v>
      </c>
      <c r="M32" s="113">
        <f>6020*0.00336</f>
        <v>20.2272</v>
      </c>
      <c r="N32" s="113">
        <f>2580*0.00336</f>
        <v>8.668800000000001</v>
      </c>
      <c r="O32" s="113">
        <v>0</v>
      </c>
    </row>
    <row r="33" spans="1:15" ht="24.75" customHeight="1" thickBot="1">
      <c r="A33" s="104"/>
      <c r="B33" s="231"/>
      <c r="C33" s="104"/>
      <c r="D33" s="82">
        <v>0.15</v>
      </c>
      <c r="E33" s="115"/>
      <c r="F33" s="82">
        <v>0.27</v>
      </c>
      <c r="G33" s="82">
        <v>0.24</v>
      </c>
      <c r="H33" s="115"/>
      <c r="I33" s="82">
        <v>0.61</v>
      </c>
      <c r="J33" s="104"/>
      <c r="K33" s="82" t="s">
        <v>9</v>
      </c>
      <c r="L33" s="104"/>
      <c r="M33" s="113"/>
      <c r="N33" s="113"/>
      <c r="O33" s="113"/>
    </row>
    <row r="34" spans="12:15" ht="15">
      <c r="L34" s="91"/>
      <c r="M34" s="91"/>
      <c r="N34" s="91"/>
      <c r="O34" s="91"/>
    </row>
    <row r="35" spans="12:15" ht="15">
      <c r="L35" s="91"/>
      <c r="M35" s="91"/>
      <c r="N35" s="91"/>
      <c r="O35" s="91"/>
    </row>
  </sheetData>
  <sheetProtection/>
  <mergeCells count="139">
    <mergeCell ref="M26:M27"/>
    <mergeCell ref="N26:N27"/>
    <mergeCell ref="O26:O27"/>
    <mergeCell ref="C28:C29"/>
    <mergeCell ref="I28:I29"/>
    <mergeCell ref="J28:J29"/>
    <mergeCell ref="L28:L29"/>
    <mergeCell ref="M28:M29"/>
    <mergeCell ref="N28:N29"/>
    <mergeCell ref="O28:O29"/>
    <mergeCell ref="L32:L33"/>
    <mergeCell ref="M32:M33"/>
    <mergeCell ref="N32:N33"/>
    <mergeCell ref="O32:O33"/>
    <mergeCell ref="B26:B27"/>
    <mergeCell ref="C26:C27"/>
    <mergeCell ref="B28:B29"/>
    <mergeCell ref="I26:I27"/>
    <mergeCell ref="J26:J27"/>
    <mergeCell ref="L26:L27"/>
    <mergeCell ref="J30:J31"/>
    <mergeCell ref="A32:A33"/>
    <mergeCell ref="B32:B33"/>
    <mergeCell ref="C32:C33"/>
    <mergeCell ref="E32:E33"/>
    <mergeCell ref="H32:H33"/>
    <mergeCell ref="J32:J33"/>
    <mergeCell ref="A24:A25"/>
    <mergeCell ref="L30:L31"/>
    <mergeCell ref="M30:M31"/>
    <mergeCell ref="N30:N31"/>
    <mergeCell ref="O30:O31"/>
    <mergeCell ref="B30:B31"/>
    <mergeCell ref="A30:A31"/>
    <mergeCell ref="C30:C31"/>
    <mergeCell ref="E30:E31"/>
    <mergeCell ref="H30:H31"/>
    <mergeCell ref="N22:N23"/>
    <mergeCell ref="O22:O23"/>
    <mergeCell ref="B24:B25"/>
    <mergeCell ref="C24:C25"/>
    <mergeCell ref="I24:I25"/>
    <mergeCell ref="J24:J25"/>
    <mergeCell ref="L24:L25"/>
    <mergeCell ref="M24:M25"/>
    <mergeCell ref="N24:N25"/>
    <mergeCell ref="O24:O25"/>
    <mergeCell ref="M20:M21"/>
    <mergeCell ref="N20:N21"/>
    <mergeCell ref="O20:O21"/>
    <mergeCell ref="A22:A23"/>
    <mergeCell ref="B22:B23"/>
    <mergeCell ref="C22:C23"/>
    <mergeCell ref="I22:I23"/>
    <mergeCell ref="J22:J23"/>
    <mergeCell ref="L22:L23"/>
    <mergeCell ref="M22:M23"/>
    <mergeCell ref="A20:A21"/>
    <mergeCell ref="B20:B21"/>
    <mergeCell ref="C20:C21"/>
    <mergeCell ref="I20:I21"/>
    <mergeCell ref="J20:J21"/>
    <mergeCell ref="L20:L21"/>
    <mergeCell ref="A18:A19"/>
    <mergeCell ref="A3:A7"/>
    <mergeCell ref="A8:A9"/>
    <mergeCell ref="A10:A13"/>
    <mergeCell ref="A14:A17"/>
    <mergeCell ref="A28:A29"/>
    <mergeCell ref="A26:A27"/>
    <mergeCell ref="A1:B1"/>
    <mergeCell ref="B3:B7"/>
    <mergeCell ref="C3:C7"/>
    <mergeCell ref="D3:J3"/>
    <mergeCell ref="K3:K7"/>
    <mergeCell ref="D7:J7"/>
    <mergeCell ref="I10:I11"/>
    <mergeCell ref="J10:J11"/>
    <mergeCell ref="B8:B9"/>
    <mergeCell ref="C8:C9"/>
    <mergeCell ref="E8:E9"/>
    <mergeCell ref="F8:F9"/>
    <mergeCell ref="G8:G9"/>
    <mergeCell ref="H8:H9"/>
    <mergeCell ref="F12:F13"/>
    <mergeCell ref="G12:G13"/>
    <mergeCell ref="H12:H13"/>
    <mergeCell ref="I8:I9"/>
    <mergeCell ref="J8:J9"/>
    <mergeCell ref="C10:C11"/>
    <mergeCell ref="E10:E11"/>
    <mergeCell ref="F10:F11"/>
    <mergeCell ref="G10:G11"/>
    <mergeCell ref="H10:H11"/>
    <mergeCell ref="I12:I13"/>
    <mergeCell ref="B14:B17"/>
    <mergeCell ref="C14:C15"/>
    <mergeCell ref="E14:E15"/>
    <mergeCell ref="F14:F15"/>
    <mergeCell ref="G14:G15"/>
    <mergeCell ref="H14:H15"/>
    <mergeCell ref="C12:C13"/>
    <mergeCell ref="D12:D13"/>
    <mergeCell ref="E12:E13"/>
    <mergeCell ref="J14:J15"/>
    <mergeCell ref="C16:C17"/>
    <mergeCell ref="D16:D17"/>
    <mergeCell ref="E16:E17"/>
    <mergeCell ref="F16:F17"/>
    <mergeCell ref="G16:G17"/>
    <mergeCell ref="H16:H17"/>
    <mergeCell ref="I16:I17"/>
    <mergeCell ref="J18:J19"/>
    <mergeCell ref="C18:C19"/>
    <mergeCell ref="E18:E19"/>
    <mergeCell ref="F18:F19"/>
    <mergeCell ref="G18:G19"/>
    <mergeCell ref="H18:H19"/>
    <mergeCell ref="I18:I19"/>
    <mergeCell ref="L14:L15"/>
    <mergeCell ref="L16:L17"/>
    <mergeCell ref="L18:L19"/>
    <mergeCell ref="L3:L7"/>
    <mergeCell ref="L8:L9"/>
    <mergeCell ref="L10:L11"/>
    <mergeCell ref="L12:L13"/>
    <mergeCell ref="M3:O6"/>
    <mergeCell ref="O8:O9"/>
    <mergeCell ref="N8:N9"/>
    <mergeCell ref="M8:M9"/>
    <mergeCell ref="M14:M17"/>
    <mergeCell ref="N14:N17"/>
    <mergeCell ref="O14:O17"/>
    <mergeCell ref="M10:M13"/>
    <mergeCell ref="N10:N13"/>
    <mergeCell ref="O10:O13"/>
    <mergeCell ref="M18:M19"/>
    <mergeCell ref="N18:N19"/>
    <mergeCell ref="O18:O1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V28"/>
  <sheetViews>
    <sheetView zoomScalePageLayoutView="0" workbookViewId="0" topLeftCell="A3">
      <selection activeCell="Q25" sqref="Q25"/>
    </sheetView>
  </sheetViews>
  <sheetFormatPr defaultColWidth="8.8515625" defaultRowHeight="15"/>
  <cols>
    <col min="1" max="1" width="8.8515625" style="35" customWidth="1"/>
    <col min="2" max="2" width="24.28125" style="3" customWidth="1"/>
    <col min="3" max="9" width="8.8515625" style="3" customWidth="1"/>
    <col min="10" max="10" width="8.28125" style="3" bestFit="1" customWidth="1"/>
    <col min="11" max="11" width="11.28125" style="3" hidden="1" customWidth="1"/>
    <col min="12" max="14" width="15.00390625" style="3" customWidth="1"/>
    <col min="15" max="15" width="8.8515625" style="3" customWidth="1"/>
    <col min="16" max="16" width="9.57421875" style="3" bestFit="1" customWidth="1"/>
    <col min="17" max="17" width="11.00390625" style="59" bestFit="1" customWidth="1"/>
    <col min="18" max="16384" width="8.8515625" style="3" customWidth="1"/>
  </cols>
  <sheetData>
    <row r="1" spans="2:17" ht="45">
      <c r="B1" s="8" t="s">
        <v>445</v>
      </c>
      <c r="Q1" s="59" t="s">
        <v>1611</v>
      </c>
    </row>
    <row r="2" ht="15.75" thickBot="1">
      <c r="B2" s="9"/>
    </row>
    <row r="3" spans="1:22" ht="30.75" thickBot="1">
      <c r="A3" s="104" t="s">
        <v>1583</v>
      </c>
      <c r="B3" s="100" t="s">
        <v>446</v>
      </c>
      <c r="C3" s="100" t="s">
        <v>2</v>
      </c>
      <c r="D3" s="10" t="s">
        <v>447</v>
      </c>
      <c r="E3" s="10" t="s">
        <v>448</v>
      </c>
      <c r="F3" s="10" t="s">
        <v>449</v>
      </c>
      <c r="G3" s="10" t="s">
        <v>408</v>
      </c>
      <c r="H3" s="10" t="s">
        <v>411</v>
      </c>
      <c r="I3" s="10" t="s">
        <v>413</v>
      </c>
      <c r="J3" s="10" t="s">
        <v>452</v>
      </c>
      <c r="K3" s="195" t="s">
        <v>1334</v>
      </c>
      <c r="L3" s="102" t="s">
        <v>1576</v>
      </c>
      <c r="M3" s="102"/>
      <c r="N3" s="102"/>
      <c r="O3" s="147"/>
      <c r="P3" s="181" t="s">
        <v>1581</v>
      </c>
      <c r="Q3" s="194" t="s">
        <v>1582</v>
      </c>
      <c r="S3" s="199" t="s">
        <v>1639</v>
      </c>
      <c r="T3" s="199"/>
      <c r="U3" s="199"/>
      <c r="V3" s="199"/>
    </row>
    <row r="4" spans="1:22" ht="30.75" thickBot="1">
      <c r="A4" s="104"/>
      <c r="B4" s="109"/>
      <c r="C4" s="109"/>
      <c r="D4" s="16" t="s">
        <v>404</v>
      </c>
      <c r="E4" s="16" t="s">
        <v>404</v>
      </c>
      <c r="F4" s="16" t="s">
        <v>407</v>
      </c>
      <c r="G4" s="16" t="s">
        <v>450</v>
      </c>
      <c r="H4" s="16" t="s">
        <v>412</v>
      </c>
      <c r="I4" s="16" t="s">
        <v>414</v>
      </c>
      <c r="J4" s="16" t="s">
        <v>453</v>
      </c>
      <c r="K4" s="195"/>
      <c r="L4" s="102"/>
      <c r="M4" s="102"/>
      <c r="N4" s="102"/>
      <c r="O4" s="147"/>
      <c r="P4" s="181"/>
      <c r="Q4" s="194"/>
      <c r="S4" s="199"/>
      <c r="T4" s="199"/>
      <c r="U4" s="199"/>
      <c r="V4" s="199"/>
    </row>
    <row r="5" spans="1:22" ht="30.75" thickBot="1">
      <c r="A5" s="104"/>
      <c r="B5" s="109"/>
      <c r="C5" s="109"/>
      <c r="D5" s="11"/>
      <c r="E5" s="11"/>
      <c r="F5" s="11" t="s">
        <v>404</v>
      </c>
      <c r="G5" s="11" t="s">
        <v>410</v>
      </c>
      <c r="H5" s="11"/>
      <c r="I5" s="11" t="s">
        <v>451</v>
      </c>
      <c r="J5" s="16" t="s">
        <v>454</v>
      </c>
      <c r="K5" s="195"/>
      <c r="L5" s="102"/>
      <c r="M5" s="102"/>
      <c r="N5" s="102"/>
      <c r="O5" s="147"/>
      <c r="P5" s="181"/>
      <c r="Q5" s="194"/>
      <c r="S5" s="199"/>
      <c r="T5" s="199"/>
      <c r="U5" s="199"/>
      <c r="V5" s="199"/>
    </row>
    <row r="6" spans="1:22" ht="15.75" thickBot="1">
      <c r="A6" s="104"/>
      <c r="B6" s="101"/>
      <c r="C6" s="101"/>
      <c r="D6" s="110" t="s">
        <v>1316</v>
      </c>
      <c r="E6" s="111"/>
      <c r="F6" s="111"/>
      <c r="G6" s="111"/>
      <c r="H6" s="111"/>
      <c r="I6" s="112"/>
      <c r="J6" s="11"/>
      <c r="K6" s="195"/>
      <c r="L6" s="40" t="s">
        <v>1577</v>
      </c>
      <c r="M6" s="40" t="s">
        <v>1578</v>
      </c>
      <c r="N6" s="40" t="s">
        <v>1579</v>
      </c>
      <c r="O6" s="147"/>
      <c r="P6" s="181"/>
      <c r="Q6" s="194"/>
      <c r="S6" s="199"/>
      <c r="T6" s="199"/>
      <c r="U6" s="199"/>
      <c r="V6" s="199"/>
    </row>
    <row r="7" spans="1:18" ht="45">
      <c r="A7" s="114" t="s">
        <v>1584</v>
      </c>
      <c r="B7" s="14" t="s">
        <v>419</v>
      </c>
      <c r="C7" s="100" t="s">
        <v>1085</v>
      </c>
      <c r="D7" s="10" t="s">
        <v>455</v>
      </c>
      <c r="E7" s="10" t="s">
        <v>456</v>
      </c>
      <c r="F7" s="10" t="s">
        <v>457</v>
      </c>
      <c r="G7" s="10" t="s">
        <v>458</v>
      </c>
      <c r="H7" s="10" t="s">
        <v>459</v>
      </c>
      <c r="I7" s="100" t="s">
        <v>30</v>
      </c>
      <c r="J7" s="100" t="s">
        <v>30</v>
      </c>
      <c r="K7" s="100" t="s">
        <v>1424</v>
      </c>
      <c r="L7" s="196"/>
      <c r="M7" s="196"/>
      <c r="N7" s="196"/>
      <c r="O7" s="147"/>
      <c r="P7" s="125"/>
      <c r="Q7" s="193"/>
      <c r="R7" s="193" t="s">
        <v>1612</v>
      </c>
    </row>
    <row r="8" spans="1:18" ht="47.25">
      <c r="A8" s="116"/>
      <c r="B8" s="15" t="s">
        <v>420</v>
      </c>
      <c r="C8" s="109"/>
      <c r="D8" s="23" t="s">
        <v>1317</v>
      </c>
      <c r="E8" s="23" t="s">
        <v>1318</v>
      </c>
      <c r="F8" s="23" t="s">
        <v>1319</v>
      </c>
      <c r="G8" s="23" t="s">
        <v>1320</v>
      </c>
      <c r="H8" s="16" t="s">
        <v>1321</v>
      </c>
      <c r="I8" s="109"/>
      <c r="J8" s="109"/>
      <c r="K8" s="109"/>
      <c r="L8" s="198"/>
      <c r="M8" s="198"/>
      <c r="N8" s="198"/>
      <c r="O8" s="147"/>
      <c r="P8" s="125"/>
      <c r="Q8" s="193"/>
      <c r="R8" s="193"/>
    </row>
    <row r="9" spans="1:18" ht="33" thickBot="1">
      <c r="A9" s="115"/>
      <c r="B9" s="17"/>
      <c r="C9" s="101"/>
      <c r="D9" s="24"/>
      <c r="E9" s="24"/>
      <c r="F9" s="24"/>
      <c r="G9" s="24"/>
      <c r="H9" s="24" t="s">
        <v>1322</v>
      </c>
      <c r="I9" s="101"/>
      <c r="J9" s="101"/>
      <c r="K9" s="101"/>
      <c r="L9" s="197"/>
      <c r="M9" s="197"/>
      <c r="N9" s="197"/>
      <c r="O9" s="147"/>
      <c r="P9" s="125"/>
      <c r="Q9" s="193"/>
      <c r="R9" s="193"/>
    </row>
    <row r="10" spans="1:18" ht="15">
      <c r="A10" s="114" t="s">
        <v>1585</v>
      </c>
      <c r="B10" s="132" t="s">
        <v>423</v>
      </c>
      <c r="C10" s="100" t="s">
        <v>1085</v>
      </c>
      <c r="D10" s="10" t="s">
        <v>460</v>
      </c>
      <c r="E10" s="100" t="s">
        <v>30</v>
      </c>
      <c r="F10" s="100" t="s">
        <v>30</v>
      </c>
      <c r="G10" s="100" t="s">
        <v>30</v>
      </c>
      <c r="H10" s="100" t="s">
        <v>30</v>
      </c>
      <c r="I10" s="100" t="s">
        <v>30</v>
      </c>
      <c r="J10" s="100" t="s">
        <v>30</v>
      </c>
      <c r="K10" s="114" t="s">
        <v>1425</v>
      </c>
      <c r="L10" s="196"/>
      <c r="M10" s="196"/>
      <c r="N10" s="196"/>
      <c r="O10" s="147"/>
      <c r="P10" s="125"/>
      <c r="Q10" s="193"/>
      <c r="R10" s="193" t="s">
        <v>1613</v>
      </c>
    </row>
    <row r="11" spans="1:18" ht="33" thickBot="1">
      <c r="A11" s="115"/>
      <c r="B11" s="133"/>
      <c r="C11" s="101"/>
      <c r="D11" s="24" t="s">
        <v>1323</v>
      </c>
      <c r="E11" s="101"/>
      <c r="F11" s="101"/>
      <c r="G11" s="101"/>
      <c r="H11" s="101"/>
      <c r="I11" s="101"/>
      <c r="J11" s="101"/>
      <c r="K11" s="115"/>
      <c r="L11" s="197"/>
      <c r="M11" s="197"/>
      <c r="N11" s="197"/>
      <c r="O11" s="147"/>
      <c r="P11" s="125"/>
      <c r="Q11" s="193"/>
      <c r="R11" s="193"/>
    </row>
    <row r="12" spans="1:18" ht="15">
      <c r="A12" s="114" t="s">
        <v>1586</v>
      </c>
      <c r="B12" s="14" t="s">
        <v>425</v>
      </c>
      <c r="C12" s="100" t="s">
        <v>1085</v>
      </c>
      <c r="D12" s="10" t="s">
        <v>461</v>
      </c>
      <c r="E12" s="100" t="s">
        <v>30</v>
      </c>
      <c r="F12" s="100" t="s">
        <v>30</v>
      </c>
      <c r="G12" s="100" t="s">
        <v>30</v>
      </c>
      <c r="H12" s="100" t="s">
        <v>30</v>
      </c>
      <c r="I12" s="100" t="s">
        <v>30</v>
      </c>
      <c r="J12" s="100" t="s">
        <v>30</v>
      </c>
      <c r="K12" s="114" t="s">
        <v>1426</v>
      </c>
      <c r="L12" s="196"/>
      <c r="M12" s="196"/>
      <c r="N12" s="196"/>
      <c r="O12" s="147"/>
      <c r="P12" s="125"/>
      <c r="Q12" s="193"/>
      <c r="R12" s="125"/>
    </row>
    <row r="13" spans="1:18" ht="18" thickBot="1">
      <c r="A13" s="116"/>
      <c r="B13" s="15" t="s">
        <v>426</v>
      </c>
      <c r="C13" s="101"/>
      <c r="D13" s="24" t="s">
        <v>1324</v>
      </c>
      <c r="E13" s="101"/>
      <c r="F13" s="101"/>
      <c r="G13" s="101"/>
      <c r="H13" s="101"/>
      <c r="I13" s="101"/>
      <c r="J13" s="101"/>
      <c r="K13" s="115"/>
      <c r="L13" s="197"/>
      <c r="M13" s="197"/>
      <c r="N13" s="197"/>
      <c r="O13" s="147"/>
      <c r="P13" s="125"/>
      <c r="Q13" s="193"/>
      <c r="R13" s="125"/>
    </row>
    <row r="14" spans="1:18" ht="15">
      <c r="A14" s="116"/>
      <c r="B14" s="15" t="s">
        <v>427</v>
      </c>
      <c r="C14" s="100" t="s">
        <v>157</v>
      </c>
      <c r="D14" s="100" t="s">
        <v>30</v>
      </c>
      <c r="E14" s="100" t="s">
        <v>30</v>
      </c>
      <c r="F14" s="100" t="s">
        <v>30</v>
      </c>
      <c r="G14" s="100" t="s">
        <v>30</v>
      </c>
      <c r="H14" s="100" t="s">
        <v>30</v>
      </c>
      <c r="I14" s="100" t="s">
        <v>30</v>
      </c>
      <c r="J14" s="10" t="s">
        <v>462</v>
      </c>
      <c r="K14" s="114" t="s">
        <v>1427</v>
      </c>
      <c r="L14" s="196"/>
      <c r="M14" s="196"/>
      <c r="N14" s="196"/>
      <c r="O14" s="147"/>
      <c r="P14" s="125"/>
      <c r="Q14" s="193"/>
      <c r="R14" s="125"/>
    </row>
    <row r="15" spans="1:18" ht="33" thickBot="1">
      <c r="A15" s="115"/>
      <c r="B15" s="17"/>
      <c r="C15" s="101"/>
      <c r="D15" s="101"/>
      <c r="E15" s="101"/>
      <c r="F15" s="101"/>
      <c r="G15" s="101"/>
      <c r="H15" s="101"/>
      <c r="I15" s="101"/>
      <c r="J15" s="24" t="s">
        <v>1325</v>
      </c>
      <c r="K15" s="115"/>
      <c r="L15" s="197"/>
      <c r="M15" s="197"/>
      <c r="N15" s="197"/>
      <c r="O15" s="147"/>
      <c r="P15" s="125"/>
      <c r="Q15" s="193"/>
      <c r="R15" s="125"/>
    </row>
    <row r="16" spans="1:18" ht="15">
      <c r="A16" s="114" t="s">
        <v>1587</v>
      </c>
      <c r="B16" s="132" t="s">
        <v>431</v>
      </c>
      <c r="C16" s="100" t="s">
        <v>1086</v>
      </c>
      <c r="D16" s="10" t="s">
        <v>463</v>
      </c>
      <c r="E16" s="100" t="s">
        <v>30</v>
      </c>
      <c r="F16" s="100" t="s">
        <v>30</v>
      </c>
      <c r="G16" s="100" t="s">
        <v>30</v>
      </c>
      <c r="H16" s="100" t="s">
        <v>30</v>
      </c>
      <c r="I16" s="10" t="s">
        <v>464</v>
      </c>
      <c r="J16" s="100" t="s">
        <v>30</v>
      </c>
      <c r="K16" s="114" t="s">
        <v>1428</v>
      </c>
      <c r="L16" s="196"/>
      <c r="M16" s="196"/>
      <c r="N16" s="196"/>
      <c r="O16" s="147"/>
      <c r="P16" s="125"/>
      <c r="Q16" s="125"/>
      <c r="R16" s="125" t="s">
        <v>1605</v>
      </c>
    </row>
    <row r="17" spans="1:18" ht="33" thickBot="1">
      <c r="A17" s="116"/>
      <c r="B17" s="151"/>
      <c r="C17" s="101"/>
      <c r="D17" s="24" t="s">
        <v>1326</v>
      </c>
      <c r="E17" s="101"/>
      <c r="F17" s="101"/>
      <c r="G17" s="101"/>
      <c r="H17" s="101"/>
      <c r="I17" s="24" t="s">
        <v>1325</v>
      </c>
      <c r="J17" s="101"/>
      <c r="K17" s="115"/>
      <c r="L17" s="197"/>
      <c r="M17" s="197"/>
      <c r="N17" s="197"/>
      <c r="O17" s="147"/>
      <c r="P17" s="125"/>
      <c r="Q17" s="125"/>
      <c r="R17" s="125"/>
    </row>
    <row r="18" spans="1:17" ht="15.75" thickBot="1">
      <c r="A18" s="115"/>
      <c r="B18" s="133"/>
      <c r="C18" s="13" t="s">
        <v>157</v>
      </c>
      <c r="D18" s="13" t="s">
        <v>30</v>
      </c>
      <c r="E18" s="13" t="s">
        <v>30</v>
      </c>
      <c r="F18" s="13" t="s">
        <v>30</v>
      </c>
      <c r="G18" s="13" t="s">
        <v>30</v>
      </c>
      <c r="H18" s="13" t="s">
        <v>30</v>
      </c>
      <c r="I18" s="13" t="s">
        <v>30</v>
      </c>
      <c r="J18" s="29">
        <v>1.03</v>
      </c>
      <c r="K18" s="34" t="s">
        <v>1429</v>
      </c>
      <c r="L18" s="42"/>
      <c r="M18" s="42"/>
      <c r="N18" s="42"/>
      <c r="Q18" s="62"/>
    </row>
    <row r="19" spans="1:18" ht="15">
      <c r="A19" s="114" t="s">
        <v>1589</v>
      </c>
      <c r="B19" s="14" t="s">
        <v>435</v>
      </c>
      <c r="C19" s="100" t="s">
        <v>157</v>
      </c>
      <c r="D19" s="10" t="s">
        <v>465</v>
      </c>
      <c r="E19" s="100" t="s">
        <v>30</v>
      </c>
      <c r="F19" s="100" t="s">
        <v>466</v>
      </c>
      <c r="G19" s="100" t="s">
        <v>30</v>
      </c>
      <c r="H19" s="100" t="s">
        <v>30</v>
      </c>
      <c r="I19" s="100" t="s">
        <v>467</v>
      </c>
      <c r="J19" s="100" t="s">
        <v>30</v>
      </c>
      <c r="K19" s="114" t="s">
        <v>1430</v>
      </c>
      <c r="L19" s="196"/>
      <c r="M19" s="196"/>
      <c r="N19" s="196"/>
      <c r="O19" s="147"/>
      <c r="P19" s="125"/>
      <c r="Q19" s="125"/>
      <c r="R19" s="125" t="s">
        <v>1614</v>
      </c>
    </row>
    <row r="20" spans="1:18" ht="33" thickBot="1">
      <c r="A20" s="115"/>
      <c r="B20" s="17" t="s">
        <v>436</v>
      </c>
      <c r="C20" s="101"/>
      <c r="D20" s="24" t="s">
        <v>1327</v>
      </c>
      <c r="E20" s="101"/>
      <c r="F20" s="101"/>
      <c r="G20" s="101"/>
      <c r="H20" s="101"/>
      <c r="I20" s="101"/>
      <c r="J20" s="101"/>
      <c r="K20" s="115"/>
      <c r="L20" s="197"/>
      <c r="M20" s="197"/>
      <c r="N20" s="197"/>
      <c r="O20" s="147"/>
      <c r="P20" s="125"/>
      <c r="Q20" s="125"/>
      <c r="R20" s="125"/>
    </row>
    <row r="21" spans="1:18" ht="15">
      <c r="A21" s="114" t="s">
        <v>1590</v>
      </c>
      <c r="B21" s="14" t="s">
        <v>438</v>
      </c>
      <c r="C21" s="100" t="s">
        <v>1086</v>
      </c>
      <c r="D21" s="10" t="s">
        <v>468</v>
      </c>
      <c r="E21" s="100" t="s">
        <v>30</v>
      </c>
      <c r="F21" s="100" t="s">
        <v>30</v>
      </c>
      <c r="G21" s="100" t="s">
        <v>30</v>
      </c>
      <c r="H21" s="100" t="s">
        <v>30</v>
      </c>
      <c r="I21" s="10" t="s">
        <v>469</v>
      </c>
      <c r="J21" s="100" t="s">
        <v>30</v>
      </c>
      <c r="K21" s="114" t="s">
        <v>1431</v>
      </c>
      <c r="L21" s="196"/>
      <c r="M21" s="196"/>
      <c r="N21" s="196"/>
      <c r="O21" s="147"/>
      <c r="P21" s="125"/>
      <c r="Q21" s="61"/>
      <c r="R21" s="125" t="s">
        <v>1606</v>
      </c>
    </row>
    <row r="22" spans="1:18" ht="33" thickBot="1">
      <c r="A22" s="115"/>
      <c r="B22" s="17" t="s">
        <v>439</v>
      </c>
      <c r="C22" s="101"/>
      <c r="D22" s="24" t="s">
        <v>1327</v>
      </c>
      <c r="E22" s="101"/>
      <c r="F22" s="101"/>
      <c r="G22" s="101"/>
      <c r="H22" s="101"/>
      <c r="I22" s="24" t="s">
        <v>1328</v>
      </c>
      <c r="J22" s="101"/>
      <c r="K22" s="115"/>
      <c r="L22" s="197"/>
      <c r="M22" s="197"/>
      <c r="N22" s="197"/>
      <c r="O22" s="147"/>
      <c r="P22" s="125"/>
      <c r="Q22" s="62"/>
      <c r="R22" s="125"/>
    </row>
    <row r="23" spans="1:18" ht="15">
      <c r="A23" s="114" t="s">
        <v>1591</v>
      </c>
      <c r="B23" s="14" t="s">
        <v>442</v>
      </c>
      <c r="C23" s="100" t="s">
        <v>1086</v>
      </c>
      <c r="D23" s="10" t="s">
        <v>468</v>
      </c>
      <c r="E23" s="100" t="s">
        <v>30</v>
      </c>
      <c r="F23" s="100" t="s">
        <v>30</v>
      </c>
      <c r="G23" s="100" t="s">
        <v>30</v>
      </c>
      <c r="H23" s="100" t="s">
        <v>30</v>
      </c>
      <c r="I23" s="100" t="s">
        <v>30</v>
      </c>
      <c r="J23" s="100" t="s">
        <v>30</v>
      </c>
      <c r="K23" s="114" t="s">
        <v>1432</v>
      </c>
      <c r="L23" s="196"/>
      <c r="M23" s="196"/>
      <c r="N23" s="196"/>
      <c r="O23" s="147"/>
      <c r="P23" s="125"/>
      <c r="Q23" s="125"/>
      <c r="R23" s="125" t="s">
        <v>1607</v>
      </c>
    </row>
    <row r="24" spans="1:18" ht="33" thickBot="1">
      <c r="A24" s="115"/>
      <c r="B24" s="17" t="s">
        <v>443</v>
      </c>
      <c r="C24" s="101"/>
      <c r="D24" s="24" t="s">
        <v>1327</v>
      </c>
      <c r="E24" s="101"/>
      <c r="F24" s="101"/>
      <c r="G24" s="101"/>
      <c r="H24" s="101"/>
      <c r="I24" s="101"/>
      <c r="J24" s="101"/>
      <c r="K24" s="115"/>
      <c r="L24" s="197"/>
      <c r="M24" s="197"/>
      <c r="N24" s="197"/>
      <c r="O24" s="147"/>
      <c r="P24" s="125"/>
      <c r="Q24" s="125"/>
      <c r="R24" s="125"/>
    </row>
    <row r="25" ht="15">
      <c r="Q25" s="62"/>
    </row>
    <row r="26" spans="2:17" ht="15">
      <c r="B26" s="37" t="s">
        <v>1615</v>
      </c>
      <c r="Q26" s="60" t="s">
        <v>1608</v>
      </c>
    </row>
    <row r="27" ht="15">
      <c r="Q27" s="60" t="s">
        <v>1609</v>
      </c>
    </row>
    <row r="28" ht="15">
      <c r="Q28" s="60" t="s">
        <v>1610</v>
      </c>
    </row>
  </sheetData>
  <sheetProtection/>
  <mergeCells count="132">
    <mergeCell ref="A19:A20"/>
    <mergeCell ref="A21:A22"/>
    <mergeCell ref="A23:A24"/>
    <mergeCell ref="S3:V6"/>
    <mergeCell ref="A3:A6"/>
    <mergeCell ref="A7:A9"/>
    <mergeCell ref="A10:A11"/>
    <mergeCell ref="A12:A15"/>
    <mergeCell ref="A16:A18"/>
    <mergeCell ref="O12:O13"/>
    <mergeCell ref="O14:O15"/>
    <mergeCell ref="O16:O17"/>
    <mergeCell ref="O19:O20"/>
    <mergeCell ref="O21:O22"/>
    <mergeCell ref="O23:O24"/>
    <mergeCell ref="P3:P6"/>
    <mergeCell ref="P23:P24"/>
    <mergeCell ref="Q3:Q6"/>
    <mergeCell ref="O3:O6"/>
    <mergeCell ref="O7:O9"/>
    <mergeCell ref="O10:O11"/>
    <mergeCell ref="B3:B6"/>
    <mergeCell ref="C3:C6"/>
    <mergeCell ref="D6:I6"/>
    <mergeCell ref="C7:C9"/>
    <mergeCell ref="I7:I9"/>
    <mergeCell ref="J7:J9"/>
    <mergeCell ref="I12:I13"/>
    <mergeCell ref="J12:J13"/>
    <mergeCell ref="B10:B11"/>
    <mergeCell ref="C10:C11"/>
    <mergeCell ref="E10:E11"/>
    <mergeCell ref="F10:F11"/>
    <mergeCell ref="G10:G11"/>
    <mergeCell ref="H10:H11"/>
    <mergeCell ref="F14:F15"/>
    <mergeCell ref="G14:G15"/>
    <mergeCell ref="H14:H15"/>
    <mergeCell ref="I10:I11"/>
    <mergeCell ref="J10:J11"/>
    <mergeCell ref="C12:C13"/>
    <mergeCell ref="E12:E13"/>
    <mergeCell ref="F12:F13"/>
    <mergeCell ref="G12:G13"/>
    <mergeCell ref="H12:H13"/>
    <mergeCell ref="I14:I15"/>
    <mergeCell ref="B16:B18"/>
    <mergeCell ref="C16:C17"/>
    <mergeCell ref="E16:E17"/>
    <mergeCell ref="F16:F17"/>
    <mergeCell ref="G16:G17"/>
    <mergeCell ref="H16:H17"/>
    <mergeCell ref="C14:C15"/>
    <mergeCell ref="D14:D15"/>
    <mergeCell ref="E14:E15"/>
    <mergeCell ref="J16:J17"/>
    <mergeCell ref="C19:C20"/>
    <mergeCell ref="E19:E20"/>
    <mergeCell ref="F19:F20"/>
    <mergeCell ref="G19:G20"/>
    <mergeCell ref="H19:H20"/>
    <mergeCell ref="I19:I20"/>
    <mergeCell ref="J19:J20"/>
    <mergeCell ref="C21:C22"/>
    <mergeCell ref="E21:E22"/>
    <mergeCell ref="F21:F22"/>
    <mergeCell ref="G21:G22"/>
    <mergeCell ref="H21:H22"/>
    <mergeCell ref="J21:J22"/>
    <mergeCell ref="J23:J24"/>
    <mergeCell ref="C23:C24"/>
    <mergeCell ref="E23:E24"/>
    <mergeCell ref="F23:F24"/>
    <mergeCell ref="G23:G24"/>
    <mergeCell ref="H23:H24"/>
    <mergeCell ref="I23:I24"/>
    <mergeCell ref="K16:K17"/>
    <mergeCell ref="K23:K24"/>
    <mergeCell ref="K21:K22"/>
    <mergeCell ref="K19:K20"/>
    <mergeCell ref="K3:K6"/>
    <mergeCell ref="K7:K9"/>
    <mergeCell ref="K10:K11"/>
    <mergeCell ref="K12:K13"/>
    <mergeCell ref="K14:K15"/>
    <mergeCell ref="L3:N5"/>
    <mergeCell ref="L7:L9"/>
    <mergeCell ref="M7:M9"/>
    <mergeCell ref="N7:N9"/>
    <mergeCell ref="N10:N11"/>
    <mergeCell ref="M10:M11"/>
    <mergeCell ref="L10:L11"/>
    <mergeCell ref="L12:L13"/>
    <mergeCell ref="M12:M13"/>
    <mergeCell ref="N12:N13"/>
    <mergeCell ref="N14:N15"/>
    <mergeCell ref="M14:M15"/>
    <mergeCell ref="L14:L15"/>
    <mergeCell ref="L16:L17"/>
    <mergeCell ref="M16:M17"/>
    <mergeCell ref="N16:N17"/>
    <mergeCell ref="N19:N20"/>
    <mergeCell ref="M19:M20"/>
    <mergeCell ref="L19:L20"/>
    <mergeCell ref="L21:L22"/>
    <mergeCell ref="M21:M22"/>
    <mergeCell ref="N21:N22"/>
    <mergeCell ref="N23:N24"/>
    <mergeCell ref="M23:M24"/>
    <mergeCell ref="L23:L24"/>
    <mergeCell ref="Q23:Q24"/>
    <mergeCell ref="P21:P22"/>
    <mergeCell ref="P19:P20"/>
    <mergeCell ref="Q19:Q20"/>
    <mergeCell ref="P10:P11"/>
    <mergeCell ref="Q10:Q11"/>
    <mergeCell ref="Q7:Q9"/>
    <mergeCell ref="P7:P9"/>
    <mergeCell ref="Q16:Q17"/>
    <mergeCell ref="P16:P17"/>
    <mergeCell ref="P14:P15"/>
    <mergeCell ref="Q14:Q15"/>
    <mergeCell ref="Q12:Q13"/>
    <mergeCell ref="P12:P13"/>
    <mergeCell ref="R21:R22"/>
    <mergeCell ref="R23:R24"/>
    <mergeCell ref="R7:R9"/>
    <mergeCell ref="R10:R11"/>
    <mergeCell ref="R12:R13"/>
    <mergeCell ref="R14:R15"/>
    <mergeCell ref="R16:R17"/>
    <mergeCell ref="R19:R20"/>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4"/>
  </sheetPr>
  <dimension ref="A1:K25"/>
  <sheetViews>
    <sheetView zoomScalePageLayoutView="0" workbookViewId="0" topLeftCell="A1">
      <selection activeCell="A1" sqref="A1:B1"/>
    </sheetView>
  </sheetViews>
  <sheetFormatPr defaultColWidth="8.8515625" defaultRowHeight="15"/>
  <cols>
    <col min="1" max="1" width="8.8515625" style="35" customWidth="1"/>
    <col min="2" max="2" width="26.421875" style="3" customWidth="1"/>
    <col min="3" max="7" width="8.8515625" style="3" customWidth="1"/>
    <col min="8" max="8" width="11.28125" style="36" customWidth="1"/>
    <col min="9" max="11" width="15.140625" style="3" customWidth="1"/>
    <col min="12" max="16384" width="8.8515625" style="3" customWidth="1"/>
  </cols>
  <sheetData>
    <row r="1" spans="1:2" ht="15">
      <c r="A1" s="217" t="s">
        <v>470</v>
      </c>
      <c r="B1" s="217"/>
    </row>
    <row r="2" ht="15.75" thickBot="1">
      <c r="B2" s="9"/>
    </row>
    <row r="3" spans="1:11" ht="15" customHeight="1" thickBot="1">
      <c r="A3" s="114" t="s">
        <v>1583</v>
      </c>
      <c r="B3" s="100" t="s">
        <v>1</v>
      </c>
      <c r="C3" s="100" t="s">
        <v>2</v>
      </c>
      <c r="D3" s="110" t="s">
        <v>144</v>
      </c>
      <c r="E3" s="112"/>
      <c r="F3" s="110" t="s">
        <v>79</v>
      </c>
      <c r="G3" s="112"/>
      <c r="H3" s="195" t="s">
        <v>1334</v>
      </c>
      <c r="I3" s="102" t="s">
        <v>1576</v>
      </c>
      <c r="J3" s="102"/>
      <c r="K3" s="102"/>
    </row>
    <row r="4" spans="1:11" ht="30.75" thickBot="1">
      <c r="A4" s="116"/>
      <c r="B4" s="109"/>
      <c r="C4" s="109"/>
      <c r="D4" s="10" t="s">
        <v>471</v>
      </c>
      <c r="E4" s="100" t="s">
        <v>5</v>
      </c>
      <c r="F4" s="100" t="s">
        <v>146</v>
      </c>
      <c r="G4" s="100" t="s">
        <v>84</v>
      </c>
      <c r="H4" s="195"/>
      <c r="I4" s="102"/>
      <c r="J4" s="102"/>
      <c r="K4" s="102"/>
    </row>
    <row r="5" spans="1:11" ht="15.75" thickBot="1">
      <c r="A5" s="115"/>
      <c r="B5" s="101"/>
      <c r="C5" s="101"/>
      <c r="D5" s="11" t="s">
        <v>4</v>
      </c>
      <c r="E5" s="101"/>
      <c r="F5" s="101"/>
      <c r="G5" s="101"/>
      <c r="H5" s="195"/>
      <c r="I5" s="40" t="s">
        <v>1577</v>
      </c>
      <c r="J5" s="40" t="s">
        <v>1578</v>
      </c>
      <c r="K5" s="40" t="s">
        <v>1579</v>
      </c>
    </row>
    <row r="6" spans="1:11" ht="28.5" customHeight="1">
      <c r="A6" s="114" t="s">
        <v>1584</v>
      </c>
      <c r="B6" s="14" t="s">
        <v>472</v>
      </c>
      <c r="C6" s="100" t="s">
        <v>157</v>
      </c>
      <c r="D6" s="10" t="s">
        <v>474</v>
      </c>
      <c r="E6" s="10" t="s">
        <v>422</v>
      </c>
      <c r="F6" s="10" t="s">
        <v>475</v>
      </c>
      <c r="G6" s="10" t="s">
        <v>476</v>
      </c>
      <c r="H6" s="100" t="s">
        <v>1433</v>
      </c>
      <c r="I6" s="144">
        <f>14543*0.00336</f>
        <v>48.86448</v>
      </c>
      <c r="J6" s="144">
        <f>52569*0.00336</f>
        <v>176.63184</v>
      </c>
      <c r="K6" s="144">
        <f>1837*0.00336</f>
        <v>6.17232</v>
      </c>
    </row>
    <row r="7" spans="1:11" ht="32.25">
      <c r="A7" s="116"/>
      <c r="B7" s="15" t="s">
        <v>473</v>
      </c>
      <c r="C7" s="109"/>
      <c r="D7" s="16" t="s">
        <v>29</v>
      </c>
      <c r="E7" s="16" t="s">
        <v>9</v>
      </c>
      <c r="F7" s="16" t="s">
        <v>1265</v>
      </c>
      <c r="G7" s="16" t="s">
        <v>1306</v>
      </c>
      <c r="H7" s="109"/>
      <c r="I7" s="145"/>
      <c r="J7" s="145"/>
      <c r="K7" s="145"/>
    </row>
    <row r="8" spans="1:11" ht="62.25">
      <c r="A8" s="116"/>
      <c r="B8" s="15"/>
      <c r="C8" s="109"/>
      <c r="D8" s="16"/>
      <c r="E8" s="16"/>
      <c r="F8" s="16" t="s">
        <v>1272</v>
      </c>
      <c r="G8" s="16" t="s">
        <v>1307</v>
      </c>
      <c r="H8" s="109"/>
      <c r="I8" s="145"/>
      <c r="J8" s="145"/>
      <c r="K8" s="145"/>
    </row>
    <row r="9" spans="1:11" ht="48" thickBot="1">
      <c r="A9" s="115"/>
      <c r="B9" s="17"/>
      <c r="C9" s="101"/>
      <c r="D9" s="11"/>
      <c r="E9" s="11"/>
      <c r="F9" s="11" t="s">
        <v>1308</v>
      </c>
      <c r="G9" s="11" t="s">
        <v>1309</v>
      </c>
      <c r="H9" s="101"/>
      <c r="I9" s="146"/>
      <c r="J9" s="146"/>
      <c r="K9" s="146"/>
    </row>
    <row r="10" spans="1:11" ht="28.5" customHeight="1">
      <c r="A10" s="114" t="s">
        <v>1585</v>
      </c>
      <c r="B10" s="14" t="s">
        <v>477</v>
      </c>
      <c r="C10" s="100" t="s">
        <v>157</v>
      </c>
      <c r="D10" s="10" t="s">
        <v>128</v>
      </c>
      <c r="E10" s="10" t="s">
        <v>422</v>
      </c>
      <c r="F10" s="10" t="s">
        <v>479</v>
      </c>
      <c r="G10" s="10" t="s">
        <v>481</v>
      </c>
      <c r="H10" s="114" t="s">
        <v>1434</v>
      </c>
      <c r="I10" s="144">
        <f>5847*0.00336</f>
        <v>19.64592</v>
      </c>
      <c r="J10" s="144">
        <f>825*0.00336</f>
        <v>2.7720000000000002</v>
      </c>
      <c r="K10" s="144">
        <f>500*0.00336</f>
        <v>1.6800000000000002</v>
      </c>
    </row>
    <row r="11" spans="1:11" ht="30">
      <c r="A11" s="116"/>
      <c r="B11" s="15" t="s">
        <v>478</v>
      </c>
      <c r="C11" s="109"/>
      <c r="D11" s="16" t="s">
        <v>111</v>
      </c>
      <c r="E11" s="16" t="s">
        <v>9</v>
      </c>
      <c r="F11" s="16" t="s">
        <v>480</v>
      </c>
      <c r="G11" s="16" t="s">
        <v>482</v>
      </c>
      <c r="H11" s="116"/>
      <c r="I11" s="145"/>
      <c r="J11" s="145"/>
      <c r="K11" s="145"/>
    </row>
    <row r="12" spans="1:11" ht="63" thickBot="1">
      <c r="A12" s="115"/>
      <c r="B12" s="17"/>
      <c r="C12" s="101"/>
      <c r="D12" s="11"/>
      <c r="E12" s="11"/>
      <c r="F12" s="11" t="s">
        <v>1218</v>
      </c>
      <c r="G12" s="11" t="s">
        <v>1310</v>
      </c>
      <c r="H12" s="115"/>
      <c r="I12" s="146"/>
      <c r="J12" s="146"/>
      <c r="K12" s="146"/>
    </row>
    <row r="13" spans="1:11" ht="57" customHeight="1">
      <c r="A13" s="148" t="s">
        <v>1586</v>
      </c>
      <c r="B13" s="84" t="s">
        <v>483</v>
      </c>
      <c r="C13" s="130" t="s">
        <v>1637</v>
      </c>
      <c r="D13" s="86" t="s">
        <v>421</v>
      </c>
      <c r="E13" s="86" t="s">
        <v>422</v>
      </c>
      <c r="F13" s="86" t="s">
        <v>1209</v>
      </c>
      <c r="G13" s="86" t="s">
        <v>486</v>
      </c>
      <c r="H13" s="148" t="s">
        <v>1435</v>
      </c>
      <c r="I13" s="144">
        <f>2259*0.00336</f>
        <v>7.5902400000000005</v>
      </c>
      <c r="J13" s="144">
        <f>16203*0.00336</f>
        <v>54.442080000000004</v>
      </c>
      <c r="K13" s="144">
        <v>0</v>
      </c>
    </row>
    <row r="14" spans="1:11" ht="30">
      <c r="A14" s="150"/>
      <c r="B14" s="98" t="s">
        <v>484</v>
      </c>
      <c r="C14" s="153"/>
      <c r="D14" s="92">
        <v>2.3</v>
      </c>
      <c r="E14" s="97" t="s">
        <v>9</v>
      </c>
      <c r="F14" s="97" t="s">
        <v>1171</v>
      </c>
      <c r="G14" s="97" t="s">
        <v>487</v>
      </c>
      <c r="H14" s="150"/>
      <c r="I14" s="145"/>
      <c r="J14" s="145"/>
      <c r="K14" s="145"/>
    </row>
    <row r="15" spans="1:11" ht="30">
      <c r="A15" s="150"/>
      <c r="B15" s="98"/>
      <c r="C15" s="153"/>
      <c r="D15" s="97"/>
      <c r="E15" s="97"/>
      <c r="F15" s="97" t="s">
        <v>485</v>
      </c>
      <c r="G15" s="97" t="s">
        <v>488</v>
      </c>
      <c r="H15" s="150"/>
      <c r="I15" s="145"/>
      <c r="J15" s="145"/>
      <c r="K15" s="145"/>
    </row>
    <row r="16" spans="1:11" ht="33" thickBot="1">
      <c r="A16" s="149"/>
      <c r="B16" s="85"/>
      <c r="C16" s="131"/>
      <c r="D16" s="87"/>
      <c r="E16" s="87"/>
      <c r="F16" s="87" t="s">
        <v>1219</v>
      </c>
      <c r="G16" s="87" t="s">
        <v>489</v>
      </c>
      <c r="H16" s="149"/>
      <c r="I16" s="146"/>
      <c r="J16" s="146"/>
      <c r="K16" s="146"/>
    </row>
    <row r="17" spans="1:11" ht="32.25" customHeight="1">
      <c r="A17" s="114" t="s">
        <v>1587</v>
      </c>
      <c r="B17" s="14" t="s">
        <v>490</v>
      </c>
      <c r="C17" s="100" t="s">
        <v>1086</v>
      </c>
      <c r="D17" s="10" t="s">
        <v>492</v>
      </c>
      <c r="E17" s="10" t="s">
        <v>422</v>
      </c>
      <c r="F17" s="10" t="s">
        <v>1311</v>
      </c>
      <c r="G17" s="10" t="s">
        <v>1306</v>
      </c>
      <c r="H17" s="114" t="s">
        <v>1436</v>
      </c>
      <c r="I17" s="144">
        <f>1511*0.00336</f>
        <v>5.076960000000001</v>
      </c>
      <c r="J17" s="144">
        <f>2673*0.00336</f>
        <v>8.98128</v>
      </c>
      <c r="K17" s="144">
        <v>0</v>
      </c>
    </row>
    <row r="18" spans="1:11" ht="33" thickBot="1">
      <c r="A18" s="115"/>
      <c r="B18" s="17" t="s">
        <v>491</v>
      </c>
      <c r="C18" s="101"/>
      <c r="D18" s="11" t="s">
        <v>493</v>
      </c>
      <c r="E18" s="11" t="s">
        <v>9</v>
      </c>
      <c r="F18" s="11" t="s">
        <v>1312</v>
      </c>
      <c r="G18" s="11" t="s">
        <v>193</v>
      </c>
      <c r="H18" s="115"/>
      <c r="I18" s="146"/>
      <c r="J18" s="146"/>
      <c r="K18" s="146"/>
    </row>
    <row r="19" spans="1:11" ht="30" customHeight="1">
      <c r="A19" s="114" t="s">
        <v>1589</v>
      </c>
      <c r="B19" s="14" t="s">
        <v>494</v>
      </c>
      <c r="C19" s="100" t="s">
        <v>1086</v>
      </c>
      <c r="D19" s="10" t="s">
        <v>496</v>
      </c>
      <c r="E19" s="10" t="s">
        <v>422</v>
      </c>
      <c r="F19" s="100" t="s">
        <v>498</v>
      </c>
      <c r="G19" s="100" t="s">
        <v>499</v>
      </c>
      <c r="H19" s="114" t="s">
        <v>1437</v>
      </c>
      <c r="I19" s="144">
        <f>3679*0.00336</f>
        <v>12.36144</v>
      </c>
      <c r="J19" s="144">
        <f>2079*0.00336</f>
        <v>6.9854400000000005</v>
      </c>
      <c r="K19" s="144">
        <v>0</v>
      </c>
    </row>
    <row r="20" spans="1:11" ht="15.75" thickBot="1">
      <c r="A20" s="115"/>
      <c r="B20" s="17" t="s">
        <v>495</v>
      </c>
      <c r="C20" s="101"/>
      <c r="D20" s="11" t="s">
        <v>497</v>
      </c>
      <c r="E20" s="11" t="s">
        <v>9</v>
      </c>
      <c r="F20" s="101"/>
      <c r="G20" s="101"/>
      <c r="H20" s="115"/>
      <c r="I20" s="146"/>
      <c r="J20" s="146"/>
      <c r="K20" s="146"/>
    </row>
    <row r="21" spans="1:11" ht="32.25" customHeight="1">
      <c r="A21" s="114" t="s">
        <v>1590</v>
      </c>
      <c r="B21" s="14" t="s">
        <v>500</v>
      </c>
      <c r="C21" s="100" t="s">
        <v>148</v>
      </c>
      <c r="D21" s="10" t="s">
        <v>502</v>
      </c>
      <c r="E21" s="10" t="s">
        <v>422</v>
      </c>
      <c r="F21" s="10" t="s">
        <v>1209</v>
      </c>
      <c r="G21" s="10" t="s">
        <v>1306</v>
      </c>
      <c r="H21" s="114" t="s">
        <v>1438</v>
      </c>
      <c r="I21" s="144">
        <v>0</v>
      </c>
      <c r="J21" s="144">
        <f>3993*0.00336</f>
        <v>13.41648</v>
      </c>
      <c r="K21" s="144">
        <f>3430*0.00336</f>
        <v>11.5248</v>
      </c>
    </row>
    <row r="22" spans="1:11" ht="32.25">
      <c r="A22" s="116"/>
      <c r="B22" s="15" t="s">
        <v>501</v>
      </c>
      <c r="C22" s="109"/>
      <c r="D22" s="16" t="s">
        <v>503</v>
      </c>
      <c r="E22" s="16" t="s">
        <v>9</v>
      </c>
      <c r="F22" s="16" t="s">
        <v>1313</v>
      </c>
      <c r="G22" s="16" t="s">
        <v>504</v>
      </c>
      <c r="H22" s="116"/>
      <c r="I22" s="145"/>
      <c r="J22" s="145"/>
      <c r="K22" s="145"/>
    </row>
    <row r="23" spans="1:11" ht="30.75" thickBot="1">
      <c r="A23" s="115"/>
      <c r="B23" s="17"/>
      <c r="C23" s="101"/>
      <c r="D23" s="11"/>
      <c r="E23" s="11"/>
      <c r="F23" s="11" t="s">
        <v>1096</v>
      </c>
      <c r="G23" s="11" t="s">
        <v>505</v>
      </c>
      <c r="H23" s="115"/>
      <c r="I23" s="146"/>
      <c r="J23" s="146"/>
      <c r="K23" s="146"/>
    </row>
    <row r="24" spans="1:11" ht="32.25" customHeight="1">
      <c r="A24" s="114" t="s">
        <v>1591</v>
      </c>
      <c r="B24" s="14" t="s">
        <v>506</v>
      </c>
      <c r="C24" s="100" t="s">
        <v>1086</v>
      </c>
      <c r="D24" s="10" t="s">
        <v>377</v>
      </c>
      <c r="E24" s="10" t="s">
        <v>422</v>
      </c>
      <c r="F24" s="10" t="s">
        <v>1314</v>
      </c>
      <c r="G24" s="10" t="s">
        <v>1306</v>
      </c>
      <c r="H24" s="114" t="s">
        <v>1439</v>
      </c>
      <c r="I24" s="144">
        <f>2347*0.00336</f>
        <v>7.8859200000000005</v>
      </c>
      <c r="J24" s="144">
        <f>11715*0.00336</f>
        <v>39.3624</v>
      </c>
      <c r="K24" s="144">
        <v>0</v>
      </c>
    </row>
    <row r="25" spans="1:11" ht="33" thickBot="1">
      <c r="A25" s="115"/>
      <c r="B25" s="17" t="s">
        <v>507</v>
      </c>
      <c r="C25" s="101"/>
      <c r="D25" s="11" t="s">
        <v>376</v>
      </c>
      <c r="E25" s="11" t="s">
        <v>9</v>
      </c>
      <c r="F25" s="11" t="s">
        <v>1315</v>
      </c>
      <c r="G25" s="11" t="s">
        <v>505</v>
      </c>
      <c r="H25" s="115"/>
      <c r="I25" s="146"/>
      <c r="J25" s="146"/>
      <c r="K25" s="146"/>
    </row>
  </sheetData>
  <sheetProtection/>
  <mergeCells count="55">
    <mergeCell ref="A1:B1"/>
    <mergeCell ref="A6:A9"/>
    <mergeCell ref="A3:A5"/>
    <mergeCell ref="A24:A25"/>
    <mergeCell ref="A21:A23"/>
    <mergeCell ref="A19:A20"/>
    <mergeCell ref="A17:A18"/>
    <mergeCell ref="A13:A16"/>
    <mergeCell ref="A10:A12"/>
    <mergeCell ref="B3:B5"/>
    <mergeCell ref="C3:C5"/>
    <mergeCell ref="D3:E3"/>
    <mergeCell ref="F3:G3"/>
    <mergeCell ref="E4:E5"/>
    <mergeCell ref="F4:F5"/>
    <mergeCell ref="G4:G5"/>
    <mergeCell ref="G19:G20"/>
    <mergeCell ref="C21:C23"/>
    <mergeCell ref="C24:C25"/>
    <mergeCell ref="C6:C9"/>
    <mergeCell ref="C10:C12"/>
    <mergeCell ref="C13:C16"/>
    <mergeCell ref="C17:C18"/>
    <mergeCell ref="C19:C20"/>
    <mergeCell ref="F19:F20"/>
    <mergeCell ref="H19:H20"/>
    <mergeCell ref="H21:H23"/>
    <mergeCell ref="H24:H25"/>
    <mergeCell ref="H3:H5"/>
    <mergeCell ref="H6:H9"/>
    <mergeCell ref="H10:H12"/>
    <mergeCell ref="H13:H16"/>
    <mergeCell ref="H17:H18"/>
    <mergeCell ref="I3:K4"/>
    <mergeCell ref="I6:I9"/>
    <mergeCell ref="J6:J9"/>
    <mergeCell ref="K6:K9"/>
    <mergeCell ref="K10:K12"/>
    <mergeCell ref="J10:J12"/>
    <mergeCell ref="I10:I12"/>
    <mergeCell ref="I24:I25"/>
    <mergeCell ref="J24:J25"/>
    <mergeCell ref="K24:K25"/>
    <mergeCell ref="I13:I16"/>
    <mergeCell ref="J13:J16"/>
    <mergeCell ref="K13:K16"/>
    <mergeCell ref="K17:K18"/>
    <mergeCell ref="J17:J18"/>
    <mergeCell ref="I17:I18"/>
    <mergeCell ref="I19:I20"/>
    <mergeCell ref="J19:J20"/>
    <mergeCell ref="K19:K20"/>
    <mergeCell ref="K21:K23"/>
    <mergeCell ref="J21:J23"/>
    <mergeCell ref="I21:I2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4"/>
  </sheetPr>
  <dimension ref="A1:O20"/>
  <sheetViews>
    <sheetView zoomScalePageLayoutView="0" workbookViewId="0" topLeftCell="A1">
      <selection activeCell="A1" sqref="A1:B1"/>
    </sheetView>
  </sheetViews>
  <sheetFormatPr defaultColWidth="8.8515625" defaultRowHeight="15"/>
  <cols>
    <col min="1" max="1" width="8.8515625" style="3" customWidth="1"/>
    <col min="2" max="2" width="23.7109375" style="3" customWidth="1"/>
    <col min="3" max="11" width="8.8515625" style="3" customWidth="1"/>
    <col min="12" max="12" width="12.28125" style="36" bestFit="1" customWidth="1"/>
    <col min="13" max="15" width="15.00390625" style="3" customWidth="1"/>
    <col min="16" max="16384" width="8.8515625" style="3" customWidth="1"/>
  </cols>
  <sheetData>
    <row r="1" spans="1:2" ht="15">
      <c r="A1" s="217" t="s">
        <v>508</v>
      </c>
      <c r="B1" s="217"/>
    </row>
    <row r="2" ht="15.75" thickBot="1">
      <c r="B2" s="9"/>
    </row>
    <row r="3" spans="1:15" ht="15" customHeight="1" thickBot="1">
      <c r="A3" s="114" t="s">
        <v>1583</v>
      </c>
      <c r="B3" s="100" t="s">
        <v>1</v>
      </c>
      <c r="C3" s="100" t="s">
        <v>2</v>
      </c>
      <c r="D3" s="10" t="s">
        <v>509</v>
      </c>
      <c r="E3" s="110" t="s">
        <v>511</v>
      </c>
      <c r="F3" s="112"/>
      <c r="G3" s="110" t="s">
        <v>512</v>
      </c>
      <c r="H3" s="112"/>
      <c r="I3" s="100" t="s">
        <v>5</v>
      </c>
      <c r="J3" s="119" t="s">
        <v>79</v>
      </c>
      <c r="K3" s="177"/>
      <c r="L3" s="195" t="s">
        <v>1334</v>
      </c>
      <c r="M3" s="102" t="s">
        <v>1576</v>
      </c>
      <c r="N3" s="102"/>
      <c r="O3" s="102"/>
    </row>
    <row r="4" spans="1:15" ht="15.75" thickBot="1">
      <c r="A4" s="116"/>
      <c r="B4" s="109"/>
      <c r="C4" s="109"/>
      <c r="D4" s="16" t="s">
        <v>510</v>
      </c>
      <c r="E4" s="10" t="s">
        <v>513</v>
      </c>
      <c r="F4" s="10" t="s">
        <v>514</v>
      </c>
      <c r="G4" s="10" t="s">
        <v>513</v>
      </c>
      <c r="H4" s="10" t="s">
        <v>514</v>
      </c>
      <c r="I4" s="109"/>
      <c r="J4" s="120"/>
      <c r="K4" s="178"/>
      <c r="L4" s="195"/>
      <c r="M4" s="102"/>
      <c r="N4" s="102"/>
      <c r="O4" s="102"/>
    </row>
    <row r="5" spans="1:15" ht="18" thickBot="1">
      <c r="A5" s="116"/>
      <c r="B5" s="109"/>
      <c r="C5" s="109"/>
      <c r="D5" s="11"/>
      <c r="E5" s="11" t="s">
        <v>1302</v>
      </c>
      <c r="F5" s="11" t="s">
        <v>1302</v>
      </c>
      <c r="G5" s="11" t="s">
        <v>1302</v>
      </c>
      <c r="H5" s="11" t="s">
        <v>1302</v>
      </c>
      <c r="I5" s="109"/>
      <c r="J5" s="179"/>
      <c r="K5" s="180"/>
      <c r="L5" s="195"/>
      <c r="M5" s="102"/>
      <c r="N5" s="102"/>
      <c r="O5" s="102"/>
    </row>
    <row r="6" spans="1:15" ht="15.75" thickBot="1">
      <c r="A6" s="115"/>
      <c r="B6" s="101"/>
      <c r="C6" s="101"/>
      <c r="D6" s="110" t="s">
        <v>515</v>
      </c>
      <c r="E6" s="111"/>
      <c r="F6" s="111"/>
      <c r="G6" s="111"/>
      <c r="H6" s="112"/>
      <c r="I6" s="101"/>
      <c r="J6" s="13" t="s">
        <v>146</v>
      </c>
      <c r="K6" s="13" t="s">
        <v>84</v>
      </c>
      <c r="L6" s="195"/>
      <c r="M6" s="40" t="s">
        <v>1577</v>
      </c>
      <c r="N6" s="40" t="s">
        <v>1578</v>
      </c>
      <c r="O6" s="40" t="s">
        <v>1579</v>
      </c>
    </row>
    <row r="7" spans="1:15" ht="30" customHeight="1">
      <c r="A7" s="114" t="s">
        <v>1584</v>
      </c>
      <c r="B7" s="14" t="s">
        <v>516</v>
      </c>
      <c r="C7" s="100" t="s">
        <v>1637</v>
      </c>
      <c r="D7" s="10" t="s">
        <v>518</v>
      </c>
      <c r="E7" s="100" t="s">
        <v>30</v>
      </c>
      <c r="F7" s="100" t="s">
        <v>30</v>
      </c>
      <c r="G7" s="100" t="s">
        <v>30</v>
      </c>
      <c r="H7" s="100" t="s">
        <v>30</v>
      </c>
      <c r="I7" s="10" t="s">
        <v>520</v>
      </c>
      <c r="J7" s="100" t="s">
        <v>521</v>
      </c>
      <c r="K7" s="10" t="s">
        <v>522</v>
      </c>
      <c r="L7" s="114" t="s">
        <v>1440</v>
      </c>
      <c r="M7" s="144">
        <f>109*0.00336</f>
        <v>0.36624</v>
      </c>
      <c r="N7" s="144">
        <f>66*0.00336</f>
        <v>0.22176</v>
      </c>
      <c r="O7" s="144">
        <v>0</v>
      </c>
    </row>
    <row r="8" spans="1:15" ht="15.75" thickBot="1">
      <c r="A8" s="115"/>
      <c r="B8" s="17" t="s">
        <v>517</v>
      </c>
      <c r="C8" s="101"/>
      <c r="D8" s="11" t="s">
        <v>519</v>
      </c>
      <c r="E8" s="101"/>
      <c r="F8" s="101"/>
      <c r="G8" s="101"/>
      <c r="H8" s="101"/>
      <c r="I8" s="11" t="s">
        <v>9</v>
      </c>
      <c r="J8" s="101"/>
      <c r="K8" s="11" t="s">
        <v>523</v>
      </c>
      <c r="L8" s="115"/>
      <c r="M8" s="146"/>
      <c r="N8" s="146"/>
      <c r="O8" s="146"/>
    </row>
    <row r="9" spans="1:15" ht="30" customHeight="1">
      <c r="A9" s="114" t="s">
        <v>1585</v>
      </c>
      <c r="B9" s="14" t="s">
        <v>524</v>
      </c>
      <c r="C9" s="100" t="s">
        <v>1637</v>
      </c>
      <c r="D9" s="10" t="s">
        <v>526</v>
      </c>
      <c r="E9" s="100" t="s">
        <v>30</v>
      </c>
      <c r="F9" s="100" t="s">
        <v>30</v>
      </c>
      <c r="G9" s="100" t="s">
        <v>30</v>
      </c>
      <c r="H9" s="100" t="s">
        <v>30</v>
      </c>
      <c r="I9" s="10" t="s">
        <v>520</v>
      </c>
      <c r="J9" s="100" t="s">
        <v>528</v>
      </c>
      <c r="K9" s="10" t="s">
        <v>522</v>
      </c>
      <c r="L9" s="114" t="s">
        <v>1441</v>
      </c>
      <c r="M9" s="144">
        <f>3474*0.00336</f>
        <v>11.672640000000001</v>
      </c>
      <c r="N9" s="144">
        <f>1980*0.00336</f>
        <v>6.6528</v>
      </c>
      <c r="O9" s="144">
        <v>0</v>
      </c>
    </row>
    <row r="10" spans="1:15" ht="15.75" thickBot="1">
      <c r="A10" s="115"/>
      <c r="B10" s="17" t="s">
        <v>525</v>
      </c>
      <c r="C10" s="101"/>
      <c r="D10" s="11" t="s">
        <v>527</v>
      </c>
      <c r="E10" s="101"/>
      <c r="F10" s="101"/>
      <c r="G10" s="101"/>
      <c r="H10" s="101"/>
      <c r="I10" s="11" t="s">
        <v>9</v>
      </c>
      <c r="J10" s="101"/>
      <c r="K10" s="11" t="s">
        <v>523</v>
      </c>
      <c r="L10" s="115"/>
      <c r="M10" s="146"/>
      <c r="N10" s="146"/>
      <c r="O10" s="146"/>
    </row>
    <row r="11" spans="1:15" ht="30" customHeight="1">
      <c r="A11" s="114" t="s">
        <v>1586</v>
      </c>
      <c r="B11" s="14" t="s">
        <v>529</v>
      </c>
      <c r="C11" s="100" t="s">
        <v>1637</v>
      </c>
      <c r="D11" s="100" t="s">
        <v>30</v>
      </c>
      <c r="E11" s="10" t="s">
        <v>530</v>
      </c>
      <c r="F11" s="10" t="s">
        <v>532</v>
      </c>
      <c r="G11" s="33" t="s">
        <v>534</v>
      </c>
      <c r="H11" s="10" t="s">
        <v>535</v>
      </c>
      <c r="I11" s="10" t="s">
        <v>520</v>
      </c>
      <c r="J11" s="10" t="s">
        <v>1295</v>
      </c>
      <c r="K11" s="10" t="s">
        <v>538</v>
      </c>
      <c r="L11" s="114" t="s">
        <v>1442</v>
      </c>
      <c r="M11" s="144">
        <f>767*0.00336</f>
        <v>2.5771200000000003</v>
      </c>
      <c r="N11" s="144">
        <f>693*0.00336</f>
        <v>2.32848</v>
      </c>
      <c r="O11" s="144">
        <v>0</v>
      </c>
    </row>
    <row r="12" spans="1:15" ht="15.75" thickBot="1">
      <c r="A12" s="115"/>
      <c r="B12" s="17" t="s">
        <v>517</v>
      </c>
      <c r="C12" s="101"/>
      <c r="D12" s="101"/>
      <c r="E12" s="11" t="s">
        <v>531</v>
      </c>
      <c r="F12" s="11" t="s">
        <v>533</v>
      </c>
      <c r="G12" s="28">
        <v>10.16</v>
      </c>
      <c r="H12" s="11" t="s">
        <v>536</v>
      </c>
      <c r="I12" s="11" t="s">
        <v>9</v>
      </c>
      <c r="J12" s="11" t="s">
        <v>537</v>
      </c>
      <c r="K12" s="11" t="s">
        <v>539</v>
      </c>
      <c r="L12" s="115"/>
      <c r="M12" s="146"/>
      <c r="N12" s="146"/>
      <c r="O12" s="146"/>
    </row>
    <row r="13" spans="1:15" ht="30" customHeight="1">
      <c r="A13" s="114" t="s">
        <v>1587</v>
      </c>
      <c r="B13" s="14" t="s">
        <v>529</v>
      </c>
      <c r="C13" s="100" t="s">
        <v>1637</v>
      </c>
      <c r="D13" s="100" t="s">
        <v>30</v>
      </c>
      <c r="E13" s="10" t="s">
        <v>540</v>
      </c>
      <c r="F13" s="10" t="s">
        <v>542</v>
      </c>
      <c r="G13" s="10" t="s">
        <v>544</v>
      </c>
      <c r="H13" s="10" t="s">
        <v>546</v>
      </c>
      <c r="I13" s="10" t="s">
        <v>520</v>
      </c>
      <c r="J13" s="10" t="s">
        <v>1303</v>
      </c>
      <c r="K13" s="10" t="s">
        <v>538</v>
      </c>
      <c r="L13" s="114" t="s">
        <v>1443</v>
      </c>
      <c r="M13" s="144">
        <f>1236*0.00336</f>
        <v>4.15296</v>
      </c>
      <c r="N13" s="144">
        <f>1782*0.00336</f>
        <v>5.98752</v>
      </c>
      <c r="O13" s="144">
        <v>0</v>
      </c>
    </row>
    <row r="14" spans="1:15" ht="15.75" thickBot="1">
      <c r="A14" s="115"/>
      <c r="B14" s="17" t="s">
        <v>525</v>
      </c>
      <c r="C14" s="101"/>
      <c r="D14" s="101"/>
      <c r="E14" s="11" t="s">
        <v>541</v>
      </c>
      <c r="F14" s="11" t="s">
        <v>543</v>
      </c>
      <c r="G14" s="11" t="s">
        <v>545</v>
      </c>
      <c r="H14" s="11" t="s">
        <v>547</v>
      </c>
      <c r="I14" s="11" t="s">
        <v>9</v>
      </c>
      <c r="J14" s="11" t="s">
        <v>548</v>
      </c>
      <c r="K14" s="11" t="s">
        <v>539</v>
      </c>
      <c r="L14" s="115"/>
      <c r="M14" s="146"/>
      <c r="N14" s="146"/>
      <c r="O14" s="146"/>
    </row>
    <row r="15" spans="1:15" ht="30" customHeight="1">
      <c r="A15" s="114" t="s">
        <v>1589</v>
      </c>
      <c r="B15" s="14" t="s">
        <v>529</v>
      </c>
      <c r="C15" s="100" t="s">
        <v>1637</v>
      </c>
      <c r="D15" s="100" t="s">
        <v>30</v>
      </c>
      <c r="E15" s="10" t="s">
        <v>550</v>
      </c>
      <c r="F15" s="10" t="s">
        <v>551</v>
      </c>
      <c r="G15" s="10" t="s">
        <v>552</v>
      </c>
      <c r="H15" s="10" t="s">
        <v>554</v>
      </c>
      <c r="I15" s="10" t="s">
        <v>520</v>
      </c>
      <c r="J15" s="10" t="s">
        <v>1304</v>
      </c>
      <c r="K15" s="10" t="s">
        <v>538</v>
      </c>
      <c r="L15" s="114" t="s">
        <v>1444</v>
      </c>
      <c r="M15" s="144">
        <f>5141*0.00336</f>
        <v>17.27376</v>
      </c>
      <c r="N15" s="144">
        <f>3267*0.00336</f>
        <v>10.977120000000001</v>
      </c>
      <c r="O15" s="144">
        <v>0</v>
      </c>
    </row>
    <row r="16" spans="1:15" ht="15.75" thickBot="1">
      <c r="A16" s="115"/>
      <c r="B16" s="17" t="s">
        <v>549</v>
      </c>
      <c r="C16" s="101"/>
      <c r="D16" s="101"/>
      <c r="E16" s="28">
        <v>18.2</v>
      </c>
      <c r="F16" s="28">
        <v>13.4</v>
      </c>
      <c r="G16" s="11" t="s">
        <v>553</v>
      </c>
      <c r="H16" s="11" t="s">
        <v>555</v>
      </c>
      <c r="I16" s="11" t="s">
        <v>9</v>
      </c>
      <c r="J16" s="11" t="s">
        <v>556</v>
      </c>
      <c r="K16" s="11" t="s">
        <v>539</v>
      </c>
      <c r="L16" s="115"/>
      <c r="M16" s="146"/>
      <c r="N16" s="146"/>
      <c r="O16" s="146"/>
    </row>
    <row r="17" spans="1:15" ht="30" customHeight="1">
      <c r="A17" s="114" t="s">
        <v>1590</v>
      </c>
      <c r="B17" s="14" t="s">
        <v>529</v>
      </c>
      <c r="C17" s="100" t="s">
        <v>1637</v>
      </c>
      <c r="D17" s="100" t="s">
        <v>30</v>
      </c>
      <c r="E17" s="10" t="s">
        <v>552</v>
      </c>
      <c r="F17" s="10" t="s">
        <v>559</v>
      </c>
      <c r="G17" s="10" t="s">
        <v>560</v>
      </c>
      <c r="H17" s="10" t="s">
        <v>562</v>
      </c>
      <c r="I17" s="10" t="s">
        <v>520</v>
      </c>
      <c r="J17" s="10" t="s">
        <v>1305</v>
      </c>
      <c r="K17" s="10" t="s">
        <v>538</v>
      </c>
      <c r="L17" s="114" t="s">
        <v>1445</v>
      </c>
      <c r="M17" s="144">
        <f>6243*0.00336</f>
        <v>20.976480000000002</v>
      </c>
      <c r="N17" s="144">
        <f>3564*0.00336</f>
        <v>11.97504</v>
      </c>
      <c r="O17" s="144">
        <v>0</v>
      </c>
    </row>
    <row r="18" spans="1:15" ht="15.75" thickBot="1">
      <c r="A18" s="115"/>
      <c r="B18" s="17" t="s">
        <v>557</v>
      </c>
      <c r="C18" s="101"/>
      <c r="D18" s="101"/>
      <c r="E18" s="11" t="s">
        <v>558</v>
      </c>
      <c r="F18" s="28">
        <v>17.09</v>
      </c>
      <c r="G18" s="11" t="s">
        <v>561</v>
      </c>
      <c r="H18" s="11" t="s">
        <v>563</v>
      </c>
      <c r="I18" s="11" t="s">
        <v>9</v>
      </c>
      <c r="J18" s="11" t="s">
        <v>564</v>
      </c>
      <c r="K18" s="11" t="s">
        <v>539</v>
      </c>
      <c r="L18" s="115"/>
      <c r="M18" s="146"/>
      <c r="N18" s="146"/>
      <c r="O18" s="146"/>
    </row>
    <row r="19" spans="1:15" ht="30" customHeight="1">
      <c r="A19" s="114" t="s">
        <v>1591</v>
      </c>
      <c r="B19" s="14" t="s">
        <v>565</v>
      </c>
      <c r="C19" s="100" t="s">
        <v>1145</v>
      </c>
      <c r="D19" s="10" t="s">
        <v>567</v>
      </c>
      <c r="E19" s="100" t="s">
        <v>30</v>
      </c>
      <c r="F19" s="100" t="s">
        <v>30</v>
      </c>
      <c r="G19" s="100" t="s">
        <v>30</v>
      </c>
      <c r="H19" s="100" t="s">
        <v>30</v>
      </c>
      <c r="I19" s="10" t="s">
        <v>520</v>
      </c>
      <c r="J19" s="10" t="s">
        <v>1295</v>
      </c>
      <c r="K19" s="10" t="s">
        <v>569</v>
      </c>
      <c r="L19" s="114" t="s">
        <v>1446</v>
      </c>
      <c r="M19" s="144">
        <f>1683*0.00336</f>
        <v>5.65488</v>
      </c>
      <c r="N19" s="144">
        <f>726*0.00336</f>
        <v>2.43936</v>
      </c>
      <c r="O19" s="144">
        <v>0</v>
      </c>
    </row>
    <row r="20" spans="1:15" ht="30.75" thickBot="1">
      <c r="A20" s="115"/>
      <c r="B20" s="17" t="s">
        <v>566</v>
      </c>
      <c r="C20" s="101"/>
      <c r="D20" s="28">
        <v>3.1</v>
      </c>
      <c r="E20" s="101"/>
      <c r="F20" s="101"/>
      <c r="G20" s="101"/>
      <c r="H20" s="101"/>
      <c r="I20" s="11" t="s">
        <v>9</v>
      </c>
      <c r="J20" s="11" t="s">
        <v>568</v>
      </c>
      <c r="K20" s="11" t="s">
        <v>570</v>
      </c>
      <c r="L20" s="115"/>
      <c r="M20" s="146"/>
      <c r="N20" s="146"/>
      <c r="O20" s="146"/>
    </row>
  </sheetData>
  <sheetProtection/>
  <mergeCells count="71">
    <mergeCell ref="A1:B1"/>
    <mergeCell ref="A17:A18"/>
    <mergeCell ref="A19:A20"/>
    <mergeCell ref="A3:A6"/>
    <mergeCell ref="A7:A8"/>
    <mergeCell ref="A9:A10"/>
    <mergeCell ref="A11:A12"/>
    <mergeCell ref="A13:A14"/>
    <mergeCell ref="A15:A16"/>
    <mergeCell ref="B3:B6"/>
    <mergeCell ref="C3:C6"/>
    <mergeCell ref="E3:F3"/>
    <mergeCell ref="G3:H3"/>
    <mergeCell ref="I3:I6"/>
    <mergeCell ref="J3:K5"/>
    <mergeCell ref="D6:H6"/>
    <mergeCell ref="C7:C8"/>
    <mergeCell ref="E7:E8"/>
    <mergeCell ref="F7:F8"/>
    <mergeCell ref="G7:G8"/>
    <mergeCell ref="H7:H8"/>
    <mergeCell ref="J7:J8"/>
    <mergeCell ref="C9:C10"/>
    <mergeCell ref="E9:E10"/>
    <mergeCell ref="F9:F10"/>
    <mergeCell ref="G9:G10"/>
    <mergeCell ref="H9:H10"/>
    <mergeCell ref="J9:J10"/>
    <mergeCell ref="C11:C12"/>
    <mergeCell ref="D11:D12"/>
    <mergeCell ref="C13:C14"/>
    <mergeCell ref="D13:D14"/>
    <mergeCell ref="C15:C16"/>
    <mergeCell ref="D15:D16"/>
    <mergeCell ref="H19:H20"/>
    <mergeCell ref="C17:C18"/>
    <mergeCell ref="D17:D18"/>
    <mergeCell ref="C19:C20"/>
    <mergeCell ref="E19:E20"/>
    <mergeCell ref="F19:F20"/>
    <mergeCell ref="G19:G20"/>
    <mergeCell ref="L15:L16"/>
    <mergeCell ref="L17:L18"/>
    <mergeCell ref="L19:L20"/>
    <mergeCell ref="L3:L6"/>
    <mergeCell ref="L7:L8"/>
    <mergeCell ref="L9:L10"/>
    <mergeCell ref="L11:L12"/>
    <mergeCell ref="L13:L14"/>
    <mergeCell ref="M3:O5"/>
    <mergeCell ref="M7:M8"/>
    <mergeCell ref="N7:N8"/>
    <mergeCell ref="O7:O8"/>
    <mergeCell ref="O9:O10"/>
    <mergeCell ref="N9:N10"/>
    <mergeCell ref="M9:M10"/>
    <mergeCell ref="M11:M12"/>
    <mergeCell ref="N11:N12"/>
    <mergeCell ref="O11:O12"/>
    <mergeCell ref="O13:O14"/>
    <mergeCell ref="N13:N14"/>
    <mergeCell ref="M13:M14"/>
    <mergeCell ref="M15:M16"/>
    <mergeCell ref="N15:N16"/>
    <mergeCell ref="O15:O16"/>
    <mergeCell ref="O17:O18"/>
    <mergeCell ref="N17:N18"/>
    <mergeCell ref="M17:M18"/>
    <mergeCell ref="M19:M20"/>
    <mergeCell ref="N19:N20"/>
    <mergeCell ref="O19:O2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4"/>
  </sheetPr>
  <dimension ref="A1:L24"/>
  <sheetViews>
    <sheetView zoomScalePageLayoutView="0" workbookViewId="0" topLeftCell="A1">
      <selection activeCell="P19" sqref="P19"/>
    </sheetView>
  </sheetViews>
  <sheetFormatPr defaultColWidth="8.8515625" defaultRowHeight="15"/>
  <cols>
    <col min="1" max="1" width="8.8515625" style="3" customWidth="1"/>
    <col min="2" max="2" width="27.8515625" style="3" customWidth="1"/>
    <col min="3" max="8" width="8.8515625" style="3" customWidth="1"/>
    <col min="9" max="9" width="11.28125" style="36" hidden="1" customWidth="1"/>
    <col min="10" max="12" width="15.140625" style="3" customWidth="1"/>
    <col min="13" max="16384" width="8.8515625" style="3" customWidth="1"/>
  </cols>
  <sheetData>
    <row r="1" spans="1:2" ht="15">
      <c r="A1" s="217" t="s">
        <v>571</v>
      </c>
      <c r="B1" s="217"/>
    </row>
    <row r="2" ht="15.75" thickBot="1">
      <c r="B2" s="9"/>
    </row>
    <row r="3" spans="1:12" ht="30.75" thickBot="1">
      <c r="A3" s="114" t="s">
        <v>1583</v>
      </c>
      <c r="B3" s="100" t="s">
        <v>1</v>
      </c>
      <c r="C3" s="100" t="s">
        <v>2</v>
      </c>
      <c r="D3" s="10" t="s">
        <v>572</v>
      </c>
      <c r="E3" s="10" t="s">
        <v>573</v>
      </c>
      <c r="F3" s="100" t="s">
        <v>5</v>
      </c>
      <c r="G3" s="119" t="s">
        <v>79</v>
      </c>
      <c r="H3" s="177"/>
      <c r="I3" s="100" t="s">
        <v>1334</v>
      </c>
      <c r="J3" s="102" t="s">
        <v>1576</v>
      </c>
      <c r="K3" s="102"/>
      <c r="L3" s="102"/>
    </row>
    <row r="4" spans="1:12" ht="15.75" thickBot="1">
      <c r="A4" s="116"/>
      <c r="B4" s="109"/>
      <c r="C4" s="109"/>
      <c r="D4" s="11" t="s">
        <v>510</v>
      </c>
      <c r="E4" s="11" t="s">
        <v>510</v>
      </c>
      <c r="F4" s="109"/>
      <c r="G4" s="179"/>
      <c r="H4" s="180"/>
      <c r="I4" s="109"/>
      <c r="J4" s="102"/>
      <c r="K4" s="102"/>
      <c r="L4" s="102"/>
    </row>
    <row r="5" spans="1:12" ht="27" customHeight="1" thickBot="1">
      <c r="A5" s="115"/>
      <c r="B5" s="101"/>
      <c r="C5" s="101"/>
      <c r="D5" s="110" t="s">
        <v>515</v>
      </c>
      <c r="E5" s="112"/>
      <c r="F5" s="101"/>
      <c r="G5" s="13" t="s">
        <v>146</v>
      </c>
      <c r="H5" s="13" t="s">
        <v>84</v>
      </c>
      <c r="I5" s="101"/>
      <c r="J5" s="40" t="s">
        <v>1577</v>
      </c>
      <c r="K5" s="40" t="s">
        <v>1578</v>
      </c>
      <c r="L5" s="40" t="s">
        <v>1579</v>
      </c>
    </row>
    <row r="6" spans="1:12" ht="30" customHeight="1">
      <c r="A6" s="114" t="s">
        <v>1584</v>
      </c>
      <c r="B6" s="14" t="s">
        <v>574</v>
      </c>
      <c r="C6" s="100" t="s">
        <v>1086</v>
      </c>
      <c r="D6" s="10" t="s">
        <v>576</v>
      </c>
      <c r="E6" s="10" t="s">
        <v>123</v>
      </c>
      <c r="F6" s="10" t="s">
        <v>422</v>
      </c>
      <c r="G6" s="10" t="s">
        <v>464</v>
      </c>
      <c r="H6" s="10" t="s">
        <v>577</v>
      </c>
      <c r="I6" s="100" t="s">
        <v>1447</v>
      </c>
      <c r="J6" s="144">
        <f>1485*0.00336</f>
        <v>4.9896</v>
      </c>
      <c r="K6" s="144">
        <f>990*0.00336</f>
        <v>3.3264</v>
      </c>
      <c r="L6" s="144">
        <v>0</v>
      </c>
    </row>
    <row r="7" spans="1:12" ht="18" thickBot="1">
      <c r="A7" s="115"/>
      <c r="B7" s="17" t="s">
        <v>575</v>
      </c>
      <c r="C7" s="101"/>
      <c r="D7" s="11" t="s">
        <v>149</v>
      </c>
      <c r="E7" s="11" t="s">
        <v>76</v>
      </c>
      <c r="F7" s="11" t="s">
        <v>9</v>
      </c>
      <c r="G7" s="11" t="s">
        <v>1124</v>
      </c>
      <c r="H7" s="11" t="s">
        <v>1174</v>
      </c>
      <c r="I7" s="101"/>
      <c r="J7" s="146"/>
      <c r="K7" s="146"/>
      <c r="L7" s="146"/>
    </row>
    <row r="8" spans="1:12" ht="15" customHeight="1">
      <c r="A8" s="114" t="s">
        <v>1585</v>
      </c>
      <c r="B8" s="14" t="s">
        <v>578</v>
      </c>
      <c r="C8" s="100" t="s">
        <v>1085</v>
      </c>
      <c r="D8" s="10" t="s">
        <v>580</v>
      </c>
      <c r="E8" s="10" t="s">
        <v>581</v>
      </c>
      <c r="F8" s="10" t="s">
        <v>422</v>
      </c>
      <c r="G8" s="100" t="s">
        <v>1156</v>
      </c>
      <c r="H8" s="100" t="s">
        <v>1299</v>
      </c>
      <c r="I8" s="114" t="s">
        <v>1448</v>
      </c>
      <c r="J8" s="144">
        <f>52520*0.00336</f>
        <v>176.46720000000002</v>
      </c>
      <c r="K8" s="144">
        <f>13464*0.00336</f>
        <v>45.23904</v>
      </c>
      <c r="L8" s="144">
        <v>0</v>
      </c>
    </row>
    <row r="9" spans="1:12" ht="15.75" thickBot="1">
      <c r="A9" s="115"/>
      <c r="B9" s="17" t="s">
        <v>579</v>
      </c>
      <c r="C9" s="101"/>
      <c r="D9" s="28">
        <v>5.2</v>
      </c>
      <c r="E9" s="28">
        <v>3.5</v>
      </c>
      <c r="F9" s="11" t="s">
        <v>9</v>
      </c>
      <c r="G9" s="101"/>
      <c r="H9" s="101"/>
      <c r="I9" s="115"/>
      <c r="J9" s="146"/>
      <c r="K9" s="146"/>
      <c r="L9" s="146"/>
    </row>
    <row r="10" spans="1:12" ht="15" customHeight="1">
      <c r="A10" s="114" t="s">
        <v>1586</v>
      </c>
      <c r="B10" s="14" t="s">
        <v>578</v>
      </c>
      <c r="C10" s="100" t="s">
        <v>1085</v>
      </c>
      <c r="D10" s="10" t="s">
        <v>583</v>
      </c>
      <c r="E10" s="10" t="s">
        <v>584</v>
      </c>
      <c r="F10" s="10" t="s">
        <v>422</v>
      </c>
      <c r="G10" s="100" t="s">
        <v>1156</v>
      </c>
      <c r="H10" s="100" t="s">
        <v>1299</v>
      </c>
      <c r="I10" s="114" t="s">
        <v>1449</v>
      </c>
      <c r="J10" s="144">
        <f>46288*0.00336</f>
        <v>155.52768</v>
      </c>
      <c r="K10" s="144">
        <f>13464*0.00336</f>
        <v>45.23904</v>
      </c>
      <c r="L10" s="144">
        <v>0</v>
      </c>
    </row>
    <row r="11" spans="1:12" ht="15.75" thickBot="1">
      <c r="A11" s="115"/>
      <c r="B11" s="17" t="s">
        <v>582</v>
      </c>
      <c r="C11" s="101"/>
      <c r="D11" s="28">
        <v>5.6</v>
      </c>
      <c r="E11" s="28">
        <v>3.5</v>
      </c>
      <c r="F11" s="11" t="s">
        <v>9</v>
      </c>
      <c r="G11" s="101"/>
      <c r="H11" s="101"/>
      <c r="I11" s="115"/>
      <c r="J11" s="146"/>
      <c r="K11" s="146"/>
      <c r="L11" s="146"/>
    </row>
    <row r="12" spans="1:12" ht="45" customHeight="1">
      <c r="A12" s="114" t="s">
        <v>1587</v>
      </c>
      <c r="B12" s="14" t="s">
        <v>585</v>
      </c>
      <c r="C12" s="100" t="s">
        <v>1086</v>
      </c>
      <c r="D12" s="10" t="s">
        <v>576</v>
      </c>
      <c r="E12" s="10" t="s">
        <v>587</v>
      </c>
      <c r="F12" s="10" t="s">
        <v>422</v>
      </c>
      <c r="G12" s="10" t="s">
        <v>589</v>
      </c>
      <c r="H12" s="10" t="s">
        <v>590</v>
      </c>
      <c r="I12" s="114" t="s">
        <v>1450</v>
      </c>
      <c r="J12" s="144">
        <f>5842*0.00336</f>
        <v>19.62912</v>
      </c>
      <c r="K12" s="144">
        <f>2310*0.00336</f>
        <v>7.7616000000000005</v>
      </c>
      <c r="L12" s="144">
        <v>0</v>
      </c>
    </row>
    <row r="13" spans="1:12" ht="18" thickBot="1">
      <c r="A13" s="115"/>
      <c r="B13" s="17" t="s">
        <v>586</v>
      </c>
      <c r="C13" s="101"/>
      <c r="D13" s="11" t="s">
        <v>149</v>
      </c>
      <c r="E13" s="11" t="s">
        <v>588</v>
      </c>
      <c r="F13" s="11" t="s">
        <v>9</v>
      </c>
      <c r="G13" s="11" t="s">
        <v>1124</v>
      </c>
      <c r="H13" s="11" t="s">
        <v>1174</v>
      </c>
      <c r="I13" s="115"/>
      <c r="J13" s="146"/>
      <c r="K13" s="146"/>
      <c r="L13" s="146"/>
    </row>
    <row r="14" spans="1:12" ht="45" customHeight="1">
      <c r="A14" s="114" t="s">
        <v>1589</v>
      </c>
      <c r="B14" s="14" t="s">
        <v>591</v>
      </c>
      <c r="C14" s="100" t="s">
        <v>1086</v>
      </c>
      <c r="D14" s="10" t="s">
        <v>121</v>
      </c>
      <c r="E14" s="10" t="s">
        <v>128</v>
      </c>
      <c r="F14" s="10" t="s">
        <v>422</v>
      </c>
      <c r="G14" s="10" t="s">
        <v>186</v>
      </c>
      <c r="H14" s="10" t="s">
        <v>590</v>
      </c>
      <c r="I14" s="114" t="s">
        <v>1451</v>
      </c>
      <c r="J14" s="144">
        <f>15964*0.00336</f>
        <v>53.63904</v>
      </c>
      <c r="K14" s="144">
        <f>3135*0.00336</f>
        <v>10.5336</v>
      </c>
      <c r="L14" s="144">
        <v>0</v>
      </c>
    </row>
    <row r="15" spans="1:12" ht="18" thickBot="1">
      <c r="A15" s="115"/>
      <c r="B15" s="17" t="s">
        <v>592</v>
      </c>
      <c r="C15" s="101"/>
      <c r="D15" s="11" t="s">
        <v>593</v>
      </c>
      <c r="E15" s="11" t="s">
        <v>111</v>
      </c>
      <c r="F15" s="11" t="s">
        <v>9</v>
      </c>
      <c r="G15" s="11" t="s">
        <v>1124</v>
      </c>
      <c r="H15" s="11" t="s">
        <v>1174</v>
      </c>
      <c r="I15" s="115"/>
      <c r="J15" s="146"/>
      <c r="K15" s="146"/>
      <c r="L15" s="146"/>
    </row>
    <row r="16" spans="1:12" ht="30" customHeight="1">
      <c r="A16" s="114" t="s">
        <v>1590</v>
      </c>
      <c r="B16" s="14" t="s">
        <v>594</v>
      </c>
      <c r="C16" s="100" t="s">
        <v>1086</v>
      </c>
      <c r="D16" s="100" t="s">
        <v>30</v>
      </c>
      <c r="E16" s="10" t="s">
        <v>596</v>
      </c>
      <c r="F16" s="10" t="s">
        <v>1568</v>
      </c>
      <c r="G16" s="10" t="s">
        <v>1300</v>
      </c>
      <c r="H16" s="10" t="s">
        <v>598</v>
      </c>
      <c r="I16" s="114" t="s">
        <v>1452</v>
      </c>
      <c r="J16" s="144">
        <f>8442*0.00336</f>
        <v>28.36512</v>
      </c>
      <c r="K16" s="144">
        <f>1419*0.00336</f>
        <v>4.7678400000000005</v>
      </c>
      <c r="L16" s="144">
        <v>0</v>
      </c>
    </row>
    <row r="17" spans="1:12" ht="30.75" thickBot="1">
      <c r="A17" s="115"/>
      <c r="B17" s="17" t="s">
        <v>595</v>
      </c>
      <c r="C17" s="101"/>
      <c r="D17" s="101"/>
      <c r="E17" s="11" t="s">
        <v>248</v>
      </c>
      <c r="F17" s="11" t="s">
        <v>9</v>
      </c>
      <c r="G17" s="11" t="s">
        <v>597</v>
      </c>
      <c r="H17" s="11" t="s">
        <v>599</v>
      </c>
      <c r="I17" s="115"/>
      <c r="J17" s="146"/>
      <c r="K17" s="146"/>
      <c r="L17" s="146"/>
    </row>
    <row r="18" spans="1:12" ht="30" customHeight="1">
      <c r="A18" s="114" t="s">
        <v>1591</v>
      </c>
      <c r="B18" s="14" t="s">
        <v>600</v>
      </c>
      <c r="C18" s="100" t="s">
        <v>1086</v>
      </c>
      <c r="D18" s="10" t="s">
        <v>434</v>
      </c>
      <c r="E18" s="10" t="s">
        <v>434</v>
      </c>
      <c r="F18" s="10" t="s">
        <v>1568</v>
      </c>
      <c r="G18" s="10" t="s">
        <v>1301</v>
      </c>
      <c r="H18" s="10" t="s">
        <v>604</v>
      </c>
      <c r="I18" s="114" t="s">
        <v>1453</v>
      </c>
      <c r="J18" s="144">
        <f>7607*0.00336</f>
        <v>25.559520000000003</v>
      </c>
      <c r="K18" s="144">
        <f>1419*0.00336</f>
        <v>4.7678400000000005</v>
      </c>
      <c r="L18" s="144">
        <v>0</v>
      </c>
    </row>
    <row r="19" spans="1:12" ht="30">
      <c r="A19" s="116"/>
      <c r="B19" s="15" t="s">
        <v>601</v>
      </c>
      <c r="C19" s="109"/>
      <c r="D19" s="16" t="s">
        <v>395</v>
      </c>
      <c r="E19" s="16" t="s">
        <v>395</v>
      </c>
      <c r="F19" s="16" t="s">
        <v>9</v>
      </c>
      <c r="G19" s="16" t="s">
        <v>602</v>
      </c>
      <c r="H19" s="16" t="s">
        <v>605</v>
      </c>
      <c r="I19" s="116"/>
      <c r="J19" s="145"/>
      <c r="K19" s="145"/>
      <c r="L19" s="145"/>
    </row>
    <row r="20" spans="1:12" ht="15.75" thickBot="1">
      <c r="A20" s="115"/>
      <c r="B20" s="17"/>
      <c r="C20" s="101"/>
      <c r="D20" s="11"/>
      <c r="E20" s="11"/>
      <c r="F20" s="11"/>
      <c r="G20" s="11" t="s">
        <v>603</v>
      </c>
      <c r="H20" s="11" t="s">
        <v>606</v>
      </c>
      <c r="I20" s="115"/>
      <c r="J20" s="146"/>
      <c r="K20" s="146"/>
      <c r="L20" s="146"/>
    </row>
    <row r="21" spans="1:12" ht="15" customHeight="1">
      <c r="A21" s="114" t="s">
        <v>1592</v>
      </c>
      <c r="B21" s="14" t="s">
        <v>607</v>
      </c>
      <c r="C21" s="100" t="s">
        <v>1086</v>
      </c>
      <c r="D21" s="10" t="s">
        <v>610</v>
      </c>
      <c r="E21" s="10" t="s">
        <v>116</v>
      </c>
      <c r="F21" s="10" t="s">
        <v>422</v>
      </c>
      <c r="G21" s="100" t="s">
        <v>1152</v>
      </c>
      <c r="H21" s="100" t="s">
        <v>611</v>
      </c>
      <c r="I21" s="114" t="s">
        <v>1454</v>
      </c>
      <c r="J21" s="144">
        <f>11402*0.00336</f>
        <v>38.31072</v>
      </c>
      <c r="K21" s="144">
        <f>1584*0.00336</f>
        <v>5.32224</v>
      </c>
      <c r="L21" s="144">
        <v>0</v>
      </c>
    </row>
    <row r="22" spans="1:12" ht="15">
      <c r="A22" s="116"/>
      <c r="B22" s="15" t="s">
        <v>608</v>
      </c>
      <c r="C22" s="109"/>
      <c r="D22" s="16" t="s">
        <v>119</v>
      </c>
      <c r="E22" s="16" t="s">
        <v>122</v>
      </c>
      <c r="F22" s="16" t="s">
        <v>9</v>
      </c>
      <c r="G22" s="109"/>
      <c r="H22" s="109"/>
      <c r="I22" s="116"/>
      <c r="J22" s="145"/>
      <c r="K22" s="145"/>
      <c r="L22" s="145"/>
    </row>
    <row r="23" spans="1:12" ht="15.75" thickBot="1">
      <c r="A23" s="115"/>
      <c r="B23" s="17" t="s">
        <v>609</v>
      </c>
      <c r="C23" s="101"/>
      <c r="D23" s="11"/>
      <c r="E23" s="11"/>
      <c r="F23" s="11"/>
      <c r="G23" s="101"/>
      <c r="H23" s="101"/>
      <c r="I23" s="115"/>
      <c r="J23" s="146"/>
      <c r="K23" s="146"/>
      <c r="L23" s="146"/>
    </row>
    <row r="24" spans="10:12" ht="15">
      <c r="J24" s="77"/>
      <c r="K24" s="77"/>
      <c r="L24" s="77"/>
    </row>
  </sheetData>
  <sheetProtection/>
  <mergeCells count="64">
    <mergeCell ref="A1:B1"/>
    <mergeCell ref="A16:A17"/>
    <mergeCell ref="A18:A20"/>
    <mergeCell ref="A21:A23"/>
    <mergeCell ref="A3:A5"/>
    <mergeCell ref="A6:A7"/>
    <mergeCell ref="A8:A9"/>
    <mergeCell ref="A10:A11"/>
    <mergeCell ref="A12:A13"/>
    <mergeCell ref="A14:A15"/>
    <mergeCell ref="B3:B5"/>
    <mergeCell ref="C3:C5"/>
    <mergeCell ref="F3:F5"/>
    <mergeCell ref="G3:H4"/>
    <mergeCell ref="D5:E5"/>
    <mergeCell ref="C6:C7"/>
    <mergeCell ref="C8:C9"/>
    <mergeCell ref="G8:G9"/>
    <mergeCell ref="H8:H9"/>
    <mergeCell ref="C10:C11"/>
    <mergeCell ref="G10:G11"/>
    <mergeCell ref="H10:H11"/>
    <mergeCell ref="G21:G23"/>
    <mergeCell ref="H21:H23"/>
    <mergeCell ref="C12:C13"/>
    <mergeCell ref="C14:C15"/>
    <mergeCell ref="C16:C17"/>
    <mergeCell ref="D16:D17"/>
    <mergeCell ref="C18:C20"/>
    <mergeCell ref="C21:C23"/>
    <mergeCell ref="I14:I15"/>
    <mergeCell ref="I16:I17"/>
    <mergeCell ref="I18:I20"/>
    <mergeCell ref="I21:I23"/>
    <mergeCell ref="I3:I5"/>
    <mergeCell ref="I6:I7"/>
    <mergeCell ref="I8:I9"/>
    <mergeCell ref="I10:I11"/>
    <mergeCell ref="I12:I13"/>
    <mergeCell ref="J3:L4"/>
    <mergeCell ref="J6:J7"/>
    <mergeCell ref="K6:K7"/>
    <mergeCell ref="L6:L7"/>
    <mergeCell ref="L8:L9"/>
    <mergeCell ref="K8:K9"/>
    <mergeCell ref="J8:J9"/>
    <mergeCell ref="J10:J11"/>
    <mergeCell ref="K10:K11"/>
    <mergeCell ref="L10:L11"/>
    <mergeCell ref="L12:L13"/>
    <mergeCell ref="K12:K13"/>
    <mergeCell ref="J12:J13"/>
    <mergeCell ref="J14:J15"/>
    <mergeCell ref="K14:K15"/>
    <mergeCell ref="L14:L15"/>
    <mergeCell ref="L16:L17"/>
    <mergeCell ref="K16:K17"/>
    <mergeCell ref="J16:J17"/>
    <mergeCell ref="J18:J20"/>
    <mergeCell ref="K18:K20"/>
    <mergeCell ref="L18:L20"/>
    <mergeCell ref="L21:L23"/>
    <mergeCell ref="K21:K23"/>
    <mergeCell ref="J21:J2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4"/>
  </sheetPr>
  <dimension ref="A1:K41"/>
  <sheetViews>
    <sheetView zoomScalePageLayoutView="0" workbookViewId="0" topLeftCell="A1">
      <selection activeCell="A1" sqref="A1:B1"/>
    </sheetView>
  </sheetViews>
  <sheetFormatPr defaultColWidth="8.8515625" defaultRowHeight="15"/>
  <cols>
    <col min="1" max="1" width="8.8515625" style="3" customWidth="1"/>
    <col min="2" max="2" width="31.421875" style="3" customWidth="1"/>
    <col min="3" max="5" width="8.8515625" style="3" customWidth="1"/>
    <col min="6" max="6" width="10.57421875" style="3" customWidth="1"/>
    <col min="7" max="7" width="14.140625" style="3" customWidth="1"/>
    <col min="8" max="8" width="11.28125" style="36" customWidth="1"/>
    <col min="9" max="11" width="14.57421875" style="3" customWidth="1"/>
    <col min="12" max="16384" width="8.8515625" style="3" customWidth="1"/>
  </cols>
  <sheetData>
    <row r="1" spans="1:2" ht="15">
      <c r="A1" s="217" t="s">
        <v>612</v>
      </c>
      <c r="B1" s="217"/>
    </row>
    <row r="2" ht="15.75" thickBot="1">
      <c r="B2" s="9"/>
    </row>
    <row r="3" spans="1:11" ht="15.75" thickBot="1">
      <c r="A3" s="200" t="s">
        <v>1583</v>
      </c>
      <c r="B3" s="177" t="s">
        <v>1</v>
      </c>
      <c r="C3" s="100" t="s">
        <v>2</v>
      </c>
      <c r="D3" s="110" t="s">
        <v>144</v>
      </c>
      <c r="E3" s="112"/>
      <c r="F3" s="110" t="s">
        <v>79</v>
      </c>
      <c r="G3" s="112"/>
      <c r="H3" s="195" t="s">
        <v>1334</v>
      </c>
      <c r="I3" s="102" t="s">
        <v>1576</v>
      </c>
      <c r="J3" s="102"/>
      <c r="K3" s="102"/>
    </row>
    <row r="4" spans="1:11" ht="30.75" thickBot="1">
      <c r="A4" s="201"/>
      <c r="B4" s="178"/>
      <c r="C4" s="109"/>
      <c r="D4" s="10" t="s">
        <v>471</v>
      </c>
      <c r="E4" s="100" t="s">
        <v>5</v>
      </c>
      <c r="F4" s="100" t="s">
        <v>146</v>
      </c>
      <c r="G4" s="100" t="s">
        <v>84</v>
      </c>
      <c r="H4" s="195"/>
      <c r="I4" s="102"/>
      <c r="J4" s="102"/>
      <c r="K4" s="102"/>
    </row>
    <row r="5" spans="1:11" ht="15.75" thickBot="1">
      <c r="A5" s="202"/>
      <c r="B5" s="180"/>
      <c r="C5" s="101"/>
      <c r="D5" s="11" t="s">
        <v>4</v>
      </c>
      <c r="E5" s="101"/>
      <c r="F5" s="101"/>
      <c r="G5" s="101"/>
      <c r="H5" s="195"/>
      <c r="I5" s="40" t="s">
        <v>1577</v>
      </c>
      <c r="J5" s="40" t="s">
        <v>1578</v>
      </c>
      <c r="K5" s="40" t="s">
        <v>1579</v>
      </c>
    </row>
    <row r="6" spans="1:11" ht="30">
      <c r="A6" s="200" t="s">
        <v>1584</v>
      </c>
      <c r="B6" s="65" t="s">
        <v>613</v>
      </c>
      <c r="C6" s="10" t="s">
        <v>614</v>
      </c>
      <c r="D6" s="10" t="s">
        <v>615</v>
      </c>
      <c r="E6" s="10" t="s">
        <v>95</v>
      </c>
      <c r="F6" s="10" t="s">
        <v>1282</v>
      </c>
      <c r="G6" s="10" t="s">
        <v>617</v>
      </c>
      <c r="H6" s="114" t="s">
        <v>1455</v>
      </c>
      <c r="I6" s="144">
        <f>1656*0.00336</f>
        <v>5.56416</v>
      </c>
      <c r="J6" s="144">
        <f>3465*0.00336</f>
        <v>11.6424</v>
      </c>
      <c r="K6" s="144">
        <v>0</v>
      </c>
    </row>
    <row r="7" spans="1:11" ht="17.25">
      <c r="A7" s="201"/>
      <c r="B7" s="67" t="s">
        <v>1283</v>
      </c>
      <c r="C7" s="16" t="s">
        <v>1086</v>
      </c>
      <c r="D7" s="16" t="s">
        <v>616</v>
      </c>
      <c r="E7" s="16" t="s">
        <v>9</v>
      </c>
      <c r="F7" s="16" t="s">
        <v>1284</v>
      </c>
      <c r="G7" s="16" t="s">
        <v>618</v>
      </c>
      <c r="H7" s="116"/>
      <c r="I7" s="145"/>
      <c r="J7" s="145"/>
      <c r="K7" s="145"/>
    </row>
    <row r="8" spans="1:11" ht="18" thickBot="1">
      <c r="A8" s="202"/>
      <c r="B8" s="66"/>
      <c r="C8" s="11"/>
      <c r="D8" s="11"/>
      <c r="E8" s="11"/>
      <c r="F8" s="11" t="s">
        <v>1285</v>
      </c>
      <c r="G8" s="11" t="s">
        <v>505</v>
      </c>
      <c r="H8" s="115"/>
      <c r="I8" s="146"/>
      <c r="J8" s="146"/>
      <c r="K8" s="146"/>
    </row>
    <row r="9" spans="1:11" ht="30" customHeight="1">
      <c r="A9" s="200" t="s">
        <v>1585</v>
      </c>
      <c r="B9" s="65" t="s">
        <v>619</v>
      </c>
      <c r="C9" s="10" t="s">
        <v>614</v>
      </c>
      <c r="D9" s="10" t="s">
        <v>610</v>
      </c>
      <c r="E9" s="10" t="s">
        <v>95</v>
      </c>
      <c r="F9" s="10" t="s">
        <v>1251</v>
      </c>
      <c r="G9" s="10" t="s">
        <v>622</v>
      </c>
      <c r="H9" s="114" t="s">
        <v>1456</v>
      </c>
      <c r="I9" s="144">
        <f>512*0.00336</f>
        <v>1.72032</v>
      </c>
      <c r="J9" s="144">
        <f>1155*0.00336</f>
        <v>3.8808000000000002</v>
      </c>
      <c r="K9" s="144">
        <v>0</v>
      </c>
    </row>
    <row r="10" spans="1:11" ht="32.25">
      <c r="A10" s="201"/>
      <c r="B10" s="67" t="s">
        <v>620</v>
      </c>
      <c r="C10" s="16" t="s">
        <v>1086</v>
      </c>
      <c r="D10" s="16" t="s">
        <v>621</v>
      </c>
      <c r="E10" s="16" t="s">
        <v>9</v>
      </c>
      <c r="F10" s="16" t="s">
        <v>1286</v>
      </c>
      <c r="G10" s="16" t="s">
        <v>623</v>
      </c>
      <c r="H10" s="116"/>
      <c r="I10" s="145"/>
      <c r="J10" s="145"/>
      <c r="K10" s="145"/>
    </row>
    <row r="11" spans="1:11" ht="33" thickBot="1">
      <c r="A11" s="202"/>
      <c r="B11" s="66"/>
      <c r="C11" s="11"/>
      <c r="D11" s="11"/>
      <c r="E11" s="11"/>
      <c r="F11" s="11" t="s">
        <v>1287</v>
      </c>
      <c r="G11" s="11" t="s">
        <v>624</v>
      </c>
      <c r="H11" s="115"/>
      <c r="I11" s="146"/>
      <c r="J11" s="146"/>
      <c r="K11" s="146"/>
    </row>
    <row r="12" spans="1:11" ht="90" customHeight="1">
      <c r="A12" s="200" t="s">
        <v>1586</v>
      </c>
      <c r="B12" s="65" t="s">
        <v>625</v>
      </c>
      <c r="C12" s="100" t="s">
        <v>1637</v>
      </c>
      <c r="D12" s="10" t="s">
        <v>627</v>
      </c>
      <c r="E12" s="10" t="s">
        <v>1569</v>
      </c>
      <c r="F12" s="10" t="s">
        <v>628</v>
      </c>
      <c r="G12" s="10" t="s">
        <v>631</v>
      </c>
      <c r="H12" s="114" t="s">
        <v>1457</v>
      </c>
      <c r="I12" s="144">
        <f>13860*0.00336</f>
        <v>46.5696</v>
      </c>
      <c r="J12" s="144">
        <f>4455*0.00336</f>
        <v>14.9688</v>
      </c>
      <c r="K12" s="144">
        <v>0</v>
      </c>
    </row>
    <row r="13" spans="1:11" ht="30">
      <c r="A13" s="201"/>
      <c r="B13" s="67" t="s">
        <v>626</v>
      </c>
      <c r="C13" s="109"/>
      <c r="D13" s="30">
        <v>2.1</v>
      </c>
      <c r="E13" s="16" t="s">
        <v>9</v>
      </c>
      <c r="F13" s="16" t="s">
        <v>629</v>
      </c>
      <c r="G13" s="16" t="s">
        <v>632</v>
      </c>
      <c r="H13" s="116"/>
      <c r="I13" s="145"/>
      <c r="J13" s="145"/>
      <c r="K13" s="145"/>
    </row>
    <row r="14" spans="1:11" ht="15.75" thickBot="1">
      <c r="A14" s="202"/>
      <c r="B14" s="66"/>
      <c r="C14" s="101"/>
      <c r="D14" s="11"/>
      <c r="E14" s="11"/>
      <c r="F14" s="11" t="s">
        <v>630</v>
      </c>
      <c r="G14" s="11" t="s">
        <v>633</v>
      </c>
      <c r="H14" s="115"/>
      <c r="I14" s="146"/>
      <c r="J14" s="146"/>
      <c r="K14" s="146"/>
    </row>
    <row r="15" spans="1:11" ht="105" customHeight="1">
      <c r="A15" s="200" t="s">
        <v>1587</v>
      </c>
      <c r="B15" s="68" t="s">
        <v>1288</v>
      </c>
      <c r="C15" s="100" t="s">
        <v>1637</v>
      </c>
      <c r="D15" s="10" t="s">
        <v>635</v>
      </c>
      <c r="E15" s="10" t="s">
        <v>1569</v>
      </c>
      <c r="F15" s="10" t="s">
        <v>636</v>
      </c>
      <c r="G15" s="10" t="s">
        <v>1289</v>
      </c>
      <c r="H15" s="114" t="s">
        <v>1458</v>
      </c>
      <c r="I15" s="144">
        <f>2524*0.00336</f>
        <v>8.480640000000001</v>
      </c>
      <c r="J15" s="144">
        <f>1155*0.00336</f>
        <v>3.8808000000000002</v>
      </c>
      <c r="K15" s="144">
        <v>0</v>
      </c>
    </row>
    <row r="16" spans="1:11" ht="30.75" thickBot="1">
      <c r="A16" s="202"/>
      <c r="B16" s="66" t="s">
        <v>634</v>
      </c>
      <c r="C16" s="101"/>
      <c r="D16" s="28">
        <v>8.01</v>
      </c>
      <c r="E16" s="11" t="s">
        <v>9</v>
      </c>
      <c r="F16" s="11" t="s">
        <v>637</v>
      </c>
      <c r="G16" s="11" t="s">
        <v>1290</v>
      </c>
      <c r="H16" s="115"/>
      <c r="I16" s="146"/>
      <c r="J16" s="146"/>
      <c r="K16" s="146"/>
    </row>
    <row r="17" spans="1:11" ht="30" customHeight="1">
      <c r="A17" s="200" t="s">
        <v>1589</v>
      </c>
      <c r="B17" s="68" t="s">
        <v>1291</v>
      </c>
      <c r="C17" s="100" t="s">
        <v>1637</v>
      </c>
      <c r="D17" s="10" t="s">
        <v>639</v>
      </c>
      <c r="E17" s="10" t="s">
        <v>1569</v>
      </c>
      <c r="F17" s="100" t="s">
        <v>641</v>
      </c>
      <c r="G17" s="100" t="s">
        <v>1292</v>
      </c>
      <c r="H17" s="114" t="s">
        <v>1459</v>
      </c>
      <c r="I17" s="144">
        <f>3477*0.00336</f>
        <v>11.68272</v>
      </c>
      <c r="J17" s="144">
        <f>1584*0.00336</f>
        <v>5.32224</v>
      </c>
      <c r="K17" s="144">
        <v>0</v>
      </c>
    </row>
    <row r="18" spans="1:11" ht="15.75" thickBot="1">
      <c r="A18" s="202"/>
      <c r="B18" s="66" t="s">
        <v>638</v>
      </c>
      <c r="C18" s="101"/>
      <c r="D18" s="11" t="s">
        <v>640</v>
      </c>
      <c r="E18" s="11" t="s">
        <v>9</v>
      </c>
      <c r="F18" s="101"/>
      <c r="G18" s="101"/>
      <c r="H18" s="115"/>
      <c r="I18" s="146"/>
      <c r="J18" s="146"/>
      <c r="K18" s="146"/>
    </row>
    <row r="19" spans="1:11" ht="30" customHeight="1">
      <c r="A19" s="232" t="s">
        <v>1590</v>
      </c>
      <c r="B19" s="233" t="s">
        <v>642</v>
      </c>
      <c r="C19" s="130" t="s">
        <v>1637</v>
      </c>
      <c r="D19" s="86" t="s">
        <v>643</v>
      </c>
      <c r="E19" s="86" t="s">
        <v>1569</v>
      </c>
      <c r="F19" s="86" t="s">
        <v>644</v>
      </c>
      <c r="G19" s="86" t="s">
        <v>646</v>
      </c>
      <c r="H19" s="148" t="s">
        <v>1460</v>
      </c>
      <c r="I19" s="144">
        <f>3523*0.00336</f>
        <v>11.83728</v>
      </c>
      <c r="J19" s="144">
        <f>1089*0.00336</f>
        <v>3.65904</v>
      </c>
      <c r="K19" s="144">
        <v>0</v>
      </c>
    </row>
    <row r="20" spans="1:11" ht="30.75" thickBot="1">
      <c r="A20" s="234"/>
      <c r="B20" s="235"/>
      <c r="C20" s="131"/>
      <c r="D20" s="83">
        <v>9.8</v>
      </c>
      <c r="E20" s="87" t="s">
        <v>9</v>
      </c>
      <c r="F20" s="87" t="s">
        <v>645</v>
      </c>
      <c r="G20" s="87" t="s">
        <v>647</v>
      </c>
      <c r="H20" s="149"/>
      <c r="I20" s="146"/>
      <c r="J20" s="146"/>
      <c r="K20" s="146"/>
    </row>
    <row r="21" spans="1:11" ht="30" customHeight="1">
      <c r="A21" s="200" t="s">
        <v>1591</v>
      </c>
      <c r="B21" s="65" t="s">
        <v>648</v>
      </c>
      <c r="C21" s="100" t="s">
        <v>1637</v>
      </c>
      <c r="D21" s="10" t="s">
        <v>650</v>
      </c>
      <c r="E21" s="10" t="s">
        <v>1568</v>
      </c>
      <c r="F21" s="10" t="s">
        <v>1293</v>
      </c>
      <c r="G21" s="10" t="s">
        <v>653</v>
      </c>
      <c r="H21" s="114" t="s">
        <v>1461</v>
      </c>
      <c r="I21" s="144">
        <v>0</v>
      </c>
      <c r="J21" s="144">
        <f>1320*0.00336</f>
        <v>4.4352</v>
      </c>
      <c r="K21" s="144">
        <v>0</v>
      </c>
    </row>
    <row r="22" spans="1:11" ht="30.75" thickBot="1">
      <c r="A22" s="202"/>
      <c r="B22" s="66" t="s">
        <v>649</v>
      </c>
      <c r="C22" s="101"/>
      <c r="D22" s="11" t="s">
        <v>651</v>
      </c>
      <c r="E22" s="11" t="s">
        <v>9</v>
      </c>
      <c r="F22" s="11" t="s">
        <v>652</v>
      </c>
      <c r="G22" s="11" t="s">
        <v>539</v>
      </c>
      <c r="H22" s="115"/>
      <c r="I22" s="146"/>
      <c r="J22" s="146"/>
      <c r="K22" s="146"/>
    </row>
    <row r="23" spans="1:11" ht="30" customHeight="1">
      <c r="A23" s="200" t="s">
        <v>1592</v>
      </c>
      <c r="B23" s="65" t="s">
        <v>648</v>
      </c>
      <c r="C23" s="100" t="s">
        <v>1637</v>
      </c>
      <c r="D23" s="10" t="s">
        <v>655</v>
      </c>
      <c r="E23" s="10" t="s">
        <v>1568</v>
      </c>
      <c r="F23" s="10" t="s">
        <v>1294</v>
      </c>
      <c r="G23" s="10" t="s">
        <v>658</v>
      </c>
      <c r="H23" s="114" t="s">
        <v>1462</v>
      </c>
      <c r="I23" s="144">
        <f>2050*0.00336</f>
        <v>6.888</v>
      </c>
      <c r="J23" s="144">
        <f>990*0.00336</f>
        <v>3.3264</v>
      </c>
      <c r="K23" s="144">
        <v>0</v>
      </c>
    </row>
    <row r="24" spans="1:11" ht="30.75" thickBot="1">
      <c r="A24" s="202"/>
      <c r="B24" s="66" t="s">
        <v>654</v>
      </c>
      <c r="C24" s="101"/>
      <c r="D24" s="11" t="s">
        <v>656</v>
      </c>
      <c r="E24" s="11" t="s">
        <v>9</v>
      </c>
      <c r="F24" s="11" t="s">
        <v>657</v>
      </c>
      <c r="G24" s="11" t="s">
        <v>539</v>
      </c>
      <c r="H24" s="115"/>
      <c r="I24" s="146"/>
      <c r="J24" s="146"/>
      <c r="K24" s="146"/>
    </row>
    <row r="25" spans="1:11" ht="30" customHeight="1">
      <c r="A25" s="200" t="s">
        <v>1593</v>
      </c>
      <c r="B25" s="65" t="s">
        <v>659</v>
      </c>
      <c r="C25" s="100" t="s">
        <v>1637</v>
      </c>
      <c r="D25" s="10" t="s">
        <v>662</v>
      </c>
      <c r="E25" s="10" t="s">
        <v>1568</v>
      </c>
      <c r="F25" s="10" t="s">
        <v>1295</v>
      </c>
      <c r="G25" s="10" t="s">
        <v>667</v>
      </c>
      <c r="H25" s="114" t="s">
        <v>1463</v>
      </c>
      <c r="I25" s="144">
        <f>253*0.00336</f>
        <v>0.8500800000000001</v>
      </c>
      <c r="J25" s="144">
        <f>264*0.00336</f>
        <v>0.88704</v>
      </c>
      <c r="K25" s="144">
        <v>0</v>
      </c>
    </row>
    <row r="26" spans="1:11" ht="30">
      <c r="A26" s="201"/>
      <c r="B26" s="67" t="s">
        <v>660</v>
      </c>
      <c r="C26" s="109"/>
      <c r="D26" s="16" t="s">
        <v>663</v>
      </c>
      <c r="E26" s="16" t="s">
        <v>664</v>
      </c>
      <c r="F26" s="16" t="s">
        <v>665</v>
      </c>
      <c r="G26" s="16" t="s">
        <v>668</v>
      </c>
      <c r="H26" s="116"/>
      <c r="I26" s="145"/>
      <c r="J26" s="145"/>
      <c r="K26" s="145"/>
    </row>
    <row r="27" spans="1:11" ht="30">
      <c r="A27" s="201"/>
      <c r="B27" s="67" t="s">
        <v>661</v>
      </c>
      <c r="C27" s="109"/>
      <c r="D27" s="16"/>
      <c r="E27" s="16"/>
      <c r="F27" s="16" t="s">
        <v>1295</v>
      </c>
      <c r="G27" s="16" t="s">
        <v>653</v>
      </c>
      <c r="H27" s="116"/>
      <c r="I27" s="145"/>
      <c r="J27" s="145"/>
      <c r="K27" s="145"/>
    </row>
    <row r="28" spans="1:11" ht="15.75" thickBot="1">
      <c r="A28" s="202"/>
      <c r="B28" s="66"/>
      <c r="C28" s="101"/>
      <c r="D28" s="11"/>
      <c r="E28" s="11"/>
      <c r="F28" s="11" t="s">
        <v>666</v>
      </c>
      <c r="G28" s="11" t="s">
        <v>539</v>
      </c>
      <c r="H28" s="115"/>
      <c r="I28" s="146"/>
      <c r="J28" s="146"/>
      <c r="K28" s="146"/>
    </row>
    <row r="29" spans="1:11" ht="15" customHeight="1">
      <c r="A29" s="200" t="s">
        <v>1594</v>
      </c>
      <c r="B29" s="203" t="s">
        <v>669</v>
      </c>
      <c r="C29" s="100" t="s">
        <v>1637</v>
      </c>
      <c r="D29" s="10" t="s">
        <v>670</v>
      </c>
      <c r="E29" s="10" t="s">
        <v>1568</v>
      </c>
      <c r="F29" s="100" t="s">
        <v>1296</v>
      </c>
      <c r="G29" s="100" t="s">
        <v>672</v>
      </c>
      <c r="H29" s="114" t="s">
        <v>1464</v>
      </c>
      <c r="I29" s="144">
        <f>12839*0.00336</f>
        <v>43.13904</v>
      </c>
      <c r="J29" s="144">
        <f>2442*0.00336</f>
        <v>8.20512</v>
      </c>
      <c r="K29" s="144">
        <v>0</v>
      </c>
    </row>
    <row r="30" spans="1:11" ht="15.75" thickBot="1">
      <c r="A30" s="202"/>
      <c r="B30" s="204"/>
      <c r="C30" s="101"/>
      <c r="D30" s="11" t="s">
        <v>671</v>
      </c>
      <c r="E30" s="11" t="s">
        <v>9</v>
      </c>
      <c r="F30" s="101"/>
      <c r="G30" s="101"/>
      <c r="H30" s="115"/>
      <c r="I30" s="146"/>
      <c r="J30" s="146"/>
      <c r="K30" s="146"/>
    </row>
    <row r="31" spans="1:11" ht="30" customHeight="1">
      <c r="A31" s="200" t="s">
        <v>1595</v>
      </c>
      <c r="B31" s="65" t="s">
        <v>673</v>
      </c>
      <c r="C31" s="100" t="s">
        <v>1086</v>
      </c>
      <c r="D31" s="10" t="s">
        <v>678</v>
      </c>
      <c r="E31" s="10" t="s">
        <v>1568</v>
      </c>
      <c r="F31" s="10" t="s">
        <v>680</v>
      </c>
      <c r="G31" s="10" t="s">
        <v>313</v>
      </c>
      <c r="H31" s="114" t="s">
        <v>1465</v>
      </c>
      <c r="I31" s="144">
        <f>588*0.00336</f>
        <v>1.97568</v>
      </c>
      <c r="J31" s="144">
        <f>462*0.00336</f>
        <v>1.5523200000000001</v>
      </c>
      <c r="K31" s="144">
        <v>0</v>
      </c>
    </row>
    <row r="32" spans="1:11" ht="30">
      <c r="A32" s="201"/>
      <c r="B32" s="67" t="s">
        <v>674</v>
      </c>
      <c r="C32" s="109"/>
      <c r="D32" s="16" t="s">
        <v>679</v>
      </c>
      <c r="E32" s="16" t="s">
        <v>9</v>
      </c>
      <c r="F32" s="16" t="s">
        <v>1297</v>
      </c>
      <c r="G32" s="16" t="s">
        <v>667</v>
      </c>
      <c r="H32" s="116"/>
      <c r="I32" s="145"/>
      <c r="J32" s="145"/>
      <c r="K32" s="145"/>
    </row>
    <row r="33" spans="1:11" ht="30">
      <c r="A33" s="201"/>
      <c r="B33" s="67" t="s">
        <v>675</v>
      </c>
      <c r="C33" s="109"/>
      <c r="D33" s="16"/>
      <c r="E33" s="16"/>
      <c r="F33" s="16" t="s">
        <v>1297</v>
      </c>
      <c r="G33" s="16" t="s">
        <v>681</v>
      </c>
      <c r="H33" s="116"/>
      <c r="I33" s="145"/>
      <c r="J33" s="145"/>
      <c r="K33" s="145"/>
    </row>
    <row r="34" spans="1:11" ht="30">
      <c r="A34" s="201"/>
      <c r="B34" s="67" t="s">
        <v>676</v>
      </c>
      <c r="C34" s="109"/>
      <c r="D34" s="16"/>
      <c r="E34" s="16"/>
      <c r="F34" s="16" t="s">
        <v>1298</v>
      </c>
      <c r="G34" s="16" t="s">
        <v>682</v>
      </c>
      <c r="H34" s="116"/>
      <c r="I34" s="145"/>
      <c r="J34" s="145"/>
      <c r="K34" s="145"/>
    </row>
    <row r="35" spans="1:11" ht="18" thickBot="1">
      <c r="A35" s="202"/>
      <c r="B35" s="66" t="s">
        <v>677</v>
      </c>
      <c r="C35" s="101"/>
      <c r="D35" s="11"/>
      <c r="E35" s="11"/>
      <c r="F35" s="11" t="s">
        <v>1152</v>
      </c>
      <c r="G35" s="11" t="s">
        <v>683</v>
      </c>
      <c r="H35" s="115"/>
      <c r="I35" s="146"/>
      <c r="J35" s="146"/>
      <c r="K35" s="146"/>
    </row>
    <row r="36" spans="1:11" ht="90" customHeight="1">
      <c r="A36" s="200" t="s">
        <v>1596</v>
      </c>
      <c r="B36" s="65" t="s">
        <v>673</v>
      </c>
      <c r="C36" s="100" t="s">
        <v>1086</v>
      </c>
      <c r="D36" s="10" t="s">
        <v>688</v>
      </c>
      <c r="E36" s="10" t="s">
        <v>1568</v>
      </c>
      <c r="F36" s="10" t="s">
        <v>689</v>
      </c>
      <c r="G36" s="10" t="s">
        <v>691</v>
      </c>
      <c r="H36" s="114" t="s">
        <v>1466</v>
      </c>
      <c r="I36" s="144">
        <f>588*0.00336</f>
        <v>1.97568</v>
      </c>
      <c r="J36" s="144">
        <f>462*0.00336</f>
        <v>1.5523200000000001</v>
      </c>
      <c r="K36" s="144">
        <v>0</v>
      </c>
    </row>
    <row r="37" spans="1:11" ht="30">
      <c r="A37" s="201"/>
      <c r="B37" s="67" t="s">
        <v>684</v>
      </c>
      <c r="C37" s="109"/>
      <c r="D37" s="16" t="s">
        <v>369</v>
      </c>
      <c r="E37" s="16" t="s">
        <v>9</v>
      </c>
      <c r="F37" s="16" t="s">
        <v>1297</v>
      </c>
      <c r="G37" s="16" t="s">
        <v>692</v>
      </c>
      <c r="H37" s="116"/>
      <c r="I37" s="145"/>
      <c r="J37" s="145"/>
      <c r="K37" s="145"/>
    </row>
    <row r="38" spans="1:11" ht="15">
      <c r="A38" s="201"/>
      <c r="B38" s="67" t="s">
        <v>685</v>
      </c>
      <c r="C38" s="109"/>
      <c r="D38" s="16"/>
      <c r="E38" s="16"/>
      <c r="F38" s="16" t="s">
        <v>690</v>
      </c>
      <c r="G38" s="16" t="s">
        <v>693</v>
      </c>
      <c r="H38" s="116"/>
      <c r="I38" s="145"/>
      <c r="J38" s="145"/>
      <c r="K38" s="145"/>
    </row>
    <row r="39" spans="1:11" ht="15">
      <c r="A39" s="201"/>
      <c r="B39" s="67" t="s">
        <v>686</v>
      </c>
      <c r="C39" s="109"/>
      <c r="D39" s="16"/>
      <c r="E39" s="16"/>
      <c r="F39" s="16" t="s">
        <v>689</v>
      </c>
      <c r="G39" s="16" t="s">
        <v>694</v>
      </c>
      <c r="H39" s="116"/>
      <c r="I39" s="145"/>
      <c r="J39" s="145"/>
      <c r="K39" s="145"/>
    </row>
    <row r="40" spans="1:11" ht="30">
      <c r="A40" s="201"/>
      <c r="B40" s="67" t="s">
        <v>687</v>
      </c>
      <c r="C40" s="109"/>
      <c r="D40" s="16"/>
      <c r="E40" s="16"/>
      <c r="F40" s="16" t="s">
        <v>1298</v>
      </c>
      <c r="G40" s="16" t="s">
        <v>695</v>
      </c>
      <c r="H40" s="116"/>
      <c r="I40" s="145"/>
      <c r="J40" s="145"/>
      <c r="K40" s="145"/>
    </row>
    <row r="41" spans="1:11" ht="18" thickBot="1">
      <c r="A41" s="202"/>
      <c r="B41" s="66"/>
      <c r="C41" s="101"/>
      <c r="D41" s="11"/>
      <c r="E41" s="11"/>
      <c r="F41" s="11" t="s">
        <v>1152</v>
      </c>
      <c r="G41" s="11" t="s">
        <v>683</v>
      </c>
      <c r="H41" s="115"/>
      <c r="I41" s="146"/>
      <c r="J41" s="146"/>
      <c r="K41" s="146"/>
    </row>
  </sheetData>
  <sheetProtection/>
  <mergeCells count="87">
    <mergeCell ref="A1:B1"/>
    <mergeCell ref="A6:A8"/>
    <mergeCell ref="A3:A5"/>
    <mergeCell ref="A21:A22"/>
    <mergeCell ref="A19:A20"/>
    <mergeCell ref="A17:A18"/>
    <mergeCell ref="A15:A16"/>
    <mergeCell ref="A12:A14"/>
    <mergeCell ref="B29:B30"/>
    <mergeCell ref="C29:C30"/>
    <mergeCell ref="A9:A11"/>
    <mergeCell ref="A36:A41"/>
    <mergeCell ref="A31:A35"/>
    <mergeCell ref="A29:A30"/>
    <mergeCell ref="A25:A28"/>
    <mergeCell ref="A23:A24"/>
    <mergeCell ref="C36:C41"/>
    <mergeCell ref="H29:H30"/>
    <mergeCell ref="H31:H35"/>
    <mergeCell ref="I31:I35"/>
    <mergeCell ref="B19:B20"/>
    <mergeCell ref="C19:C20"/>
    <mergeCell ref="B3:B5"/>
    <mergeCell ref="C3:C5"/>
    <mergeCell ref="D3:E3"/>
    <mergeCell ref="F3:G3"/>
    <mergeCell ref="E4:E5"/>
    <mergeCell ref="F4:F5"/>
    <mergeCell ref="G4:G5"/>
    <mergeCell ref="C12:C14"/>
    <mergeCell ref="C15:C16"/>
    <mergeCell ref="C17:C18"/>
    <mergeCell ref="F17:F18"/>
    <mergeCell ref="G29:G30"/>
    <mergeCell ref="G17:G18"/>
    <mergeCell ref="C31:C35"/>
    <mergeCell ref="C21:C22"/>
    <mergeCell ref="C23:C24"/>
    <mergeCell ref="C25:C28"/>
    <mergeCell ref="F29:F30"/>
    <mergeCell ref="H3:H5"/>
    <mergeCell ref="H6:H8"/>
    <mergeCell ref="H9:H11"/>
    <mergeCell ref="H12:H14"/>
    <mergeCell ref="H15:H16"/>
    <mergeCell ref="H17:H18"/>
    <mergeCell ref="I3:K4"/>
    <mergeCell ref="I6:I8"/>
    <mergeCell ref="J6:J8"/>
    <mergeCell ref="K6:K8"/>
    <mergeCell ref="H36:H41"/>
    <mergeCell ref="H19:H20"/>
    <mergeCell ref="H21:H22"/>
    <mergeCell ref="H23:H24"/>
    <mergeCell ref="H25:H28"/>
    <mergeCell ref="K9:K11"/>
    <mergeCell ref="J9:J11"/>
    <mergeCell ref="I9:I11"/>
    <mergeCell ref="I12:I14"/>
    <mergeCell ref="J12:J14"/>
    <mergeCell ref="K12:K14"/>
    <mergeCell ref="K15:K16"/>
    <mergeCell ref="J15:J16"/>
    <mergeCell ref="I15:I16"/>
    <mergeCell ref="I17:I18"/>
    <mergeCell ref="J17:J18"/>
    <mergeCell ref="K17:K18"/>
    <mergeCell ref="K19:K20"/>
    <mergeCell ref="J19:J20"/>
    <mergeCell ref="I19:I20"/>
    <mergeCell ref="I21:I22"/>
    <mergeCell ref="J21:J22"/>
    <mergeCell ref="K21:K22"/>
    <mergeCell ref="K23:K24"/>
    <mergeCell ref="J23:J24"/>
    <mergeCell ref="J31:J35"/>
    <mergeCell ref="K31:K35"/>
    <mergeCell ref="I23:I24"/>
    <mergeCell ref="I25:I28"/>
    <mergeCell ref="J25:J28"/>
    <mergeCell ref="K25:K28"/>
    <mergeCell ref="K36:K41"/>
    <mergeCell ref="J36:J41"/>
    <mergeCell ref="I36:I41"/>
    <mergeCell ref="K29:K30"/>
    <mergeCell ref="J29:J30"/>
    <mergeCell ref="I29:I30"/>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N52"/>
  <sheetViews>
    <sheetView zoomScale="76" zoomScaleNormal="76" zoomScalePageLayoutView="0" workbookViewId="0" topLeftCell="A1">
      <selection activeCell="Q5" sqref="Q5"/>
    </sheetView>
  </sheetViews>
  <sheetFormatPr defaultColWidth="8.8515625" defaultRowHeight="15"/>
  <cols>
    <col min="1" max="1" width="8.8515625" style="3" customWidth="1"/>
    <col min="2" max="2" width="24.8515625" style="3" customWidth="1"/>
    <col min="3" max="3" width="8.8515625" style="3" customWidth="1"/>
    <col min="4" max="4" width="9.7109375" style="3" customWidth="1"/>
    <col min="5" max="5" width="10.140625" style="3" customWidth="1"/>
    <col min="6" max="6" width="8.8515625" style="3" customWidth="1"/>
    <col min="7" max="7" width="11.28125" style="36" bestFit="1" customWidth="1"/>
    <col min="8" max="10" width="15.140625" style="3" hidden="1" customWidth="1"/>
    <col min="11" max="11" width="8.8515625" style="3" customWidth="1"/>
    <col min="12" max="12" width="9.57421875" style="3" bestFit="1" customWidth="1"/>
    <col min="13" max="13" width="11.00390625" style="3" bestFit="1" customWidth="1"/>
    <col min="14" max="16384" width="8.8515625" style="3" customWidth="1"/>
  </cols>
  <sheetData>
    <row r="1" spans="1:14" ht="15">
      <c r="A1" s="103" t="s">
        <v>750</v>
      </c>
      <c r="B1" s="103"/>
      <c r="N1" s="3" t="s">
        <v>1616</v>
      </c>
    </row>
    <row r="2" ht="15.75" thickBot="1">
      <c r="B2" s="9"/>
    </row>
    <row r="3" spans="1:13" ht="15" customHeight="1" thickBot="1">
      <c r="A3" s="104" t="s">
        <v>1583</v>
      </c>
      <c r="B3" s="100" t="s">
        <v>1</v>
      </c>
      <c r="C3" s="100" t="s">
        <v>2</v>
      </c>
      <c r="D3" s="110" t="s">
        <v>144</v>
      </c>
      <c r="E3" s="111"/>
      <c r="F3" s="112"/>
      <c r="G3" s="100" t="s">
        <v>1334</v>
      </c>
      <c r="H3" s="102" t="s">
        <v>1576</v>
      </c>
      <c r="I3" s="102"/>
      <c r="J3" s="102"/>
      <c r="K3" s="147"/>
      <c r="L3" s="181" t="s">
        <v>1581</v>
      </c>
      <c r="M3" s="181" t="s">
        <v>1582</v>
      </c>
    </row>
    <row r="4" spans="1:13" ht="15.75" thickBot="1">
      <c r="A4" s="104"/>
      <c r="B4" s="109"/>
      <c r="C4" s="109"/>
      <c r="D4" s="13" t="s">
        <v>697</v>
      </c>
      <c r="E4" s="13" t="s">
        <v>698</v>
      </c>
      <c r="F4" s="100" t="s">
        <v>5</v>
      </c>
      <c r="G4" s="109"/>
      <c r="H4" s="102"/>
      <c r="I4" s="102"/>
      <c r="J4" s="102"/>
      <c r="K4" s="147"/>
      <c r="L4" s="181"/>
      <c r="M4" s="181"/>
    </row>
    <row r="5" spans="1:13" ht="15.75" thickBot="1">
      <c r="A5" s="104"/>
      <c r="B5" s="109"/>
      <c r="C5" s="109"/>
      <c r="D5" s="119" t="s">
        <v>751</v>
      </c>
      <c r="E5" s="177"/>
      <c r="F5" s="109"/>
      <c r="G5" s="109"/>
      <c r="H5" s="102"/>
      <c r="I5" s="102"/>
      <c r="J5" s="102"/>
      <c r="K5" s="147"/>
      <c r="L5" s="181"/>
      <c r="M5" s="181"/>
    </row>
    <row r="6" spans="1:13" ht="15.75" thickBot="1">
      <c r="A6" s="104"/>
      <c r="B6" s="101"/>
      <c r="C6" s="101"/>
      <c r="D6" s="179" t="s">
        <v>4</v>
      </c>
      <c r="E6" s="180"/>
      <c r="F6" s="101"/>
      <c r="G6" s="101"/>
      <c r="H6" s="48" t="s">
        <v>1577</v>
      </c>
      <c r="I6" s="48" t="s">
        <v>1578</v>
      </c>
      <c r="J6" s="48" t="s">
        <v>1579</v>
      </c>
      <c r="K6" s="147"/>
      <c r="L6" s="181"/>
      <c r="M6" s="181"/>
    </row>
    <row r="7" spans="1:13" ht="15" customHeight="1" thickBot="1">
      <c r="A7" s="53"/>
      <c r="B7" s="207" t="s">
        <v>1230</v>
      </c>
      <c r="C7" s="208"/>
      <c r="D7" s="208"/>
      <c r="E7" s="208"/>
      <c r="F7" s="208"/>
      <c r="G7" s="209"/>
      <c r="H7" s="38"/>
      <c r="I7" s="38"/>
      <c r="J7" s="38"/>
      <c r="K7" s="147"/>
      <c r="L7" s="181"/>
      <c r="M7" s="181"/>
    </row>
    <row r="8" spans="1:14" ht="30">
      <c r="A8" s="114" t="s">
        <v>1584</v>
      </c>
      <c r="B8" s="132" t="s">
        <v>752</v>
      </c>
      <c r="C8" s="100" t="s">
        <v>1086</v>
      </c>
      <c r="D8" s="10" t="s">
        <v>720</v>
      </c>
      <c r="E8" s="10" t="s">
        <v>102</v>
      </c>
      <c r="F8" s="10" t="s">
        <v>95</v>
      </c>
      <c r="G8" s="114" t="s">
        <v>1482</v>
      </c>
      <c r="H8" s="205"/>
      <c r="I8" s="205"/>
      <c r="J8" s="205"/>
      <c r="K8" s="147"/>
      <c r="L8" s="125"/>
      <c r="M8" s="125"/>
      <c r="N8" s="117" t="s">
        <v>1617</v>
      </c>
    </row>
    <row r="9" spans="1:14" ht="15.75" thickBot="1">
      <c r="A9" s="115"/>
      <c r="B9" s="133"/>
      <c r="C9" s="101"/>
      <c r="D9" s="11" t="s">
        <v>112</v>
      </c>
      <c r="E9" s="11" t="s">
        <v>166</v>
      </c>
      <c r="F9" s="11" t="s">
        <v>9</v>
      </c>
      <c r="G9" s="115"/>
      <c r="H9" s="206"/>
      <c r="I9" s="206"/>
      <c r="J9" s="206"/>
      <c r="K9" s="147"/>
      <c r="L9" s="125"/>
      <c r="M9" s="125"/>
      <c r="N9" s="117"/>
    </row>
    <row r="10" spans="1:14" ht="30">
      <c r="A10" s="114" t="s">
        <v>1585</v>
      </c>
      <c r="B10" s="132" t="s">
        <v>753</v>
      </c>
      <c r="C10" s="100" t="s">
        <v>1086</v>
      </c>
      <c r="D10" s="10" t="s">
        <v>754</v>
      </c>
      <c r="E10" s="10" t="s">
        <v>211</v>
      </c>
      <c r="F10" s="10" t="s">
        <v>95</v>
      </c>
      <c r="G10" s="114" t="s">
        <v>1484</v>
      </c>
      <c r="H10" s="205"/>
      <c r="I10" s="205"/>
      <c r="J10" s="205"/>
      <c r="K10" s="147"/>
      <c r="L10" s="125"/>
      <c r="M10" s="125"/>
      <c r="N10" s="117" t="s">
        <v>1618</v>
      </c>
    </row>
    <row r="11" spans="1:14" ht="15.75" thickBot="1">
      <c r="A11" s="115"/>
      <c r="B11" s="133"/>
      <c r="C11" s="101"/>
      <c r="D11" s="11" t="s">
        <v>493</v>
      </c>
      <c r="E11" s="11" t="s">
        <v>106</v>
      </c>
      <c r="F11" s="11" t="s">
        <v>9</v>
      </c>
      <c r="G11" s="115"/>
      <c r="H11" s="206"/>
      <c r="I11" s="206"/>
      <c r="J11" s="206"/>
      <c r="K11" s="147"/>
      <c r="L11" s="125"/>
      <c r="M11" s="125"/>
      <c r="N11" s="117"/>
    </row>
    <row r="12" spans="1:14" ht="54" customHeight="1">
      <c r="A12" s="114" t="s">
        <v>1586</v>
      </c>
      <c r="B12" s="132" t="s">
        <v>755</v>
      </c>
      <c r="C12" s="100" t="s">
        <v>1086</v>
      </c>
      <c r="D12" s="10" t="s">
        <v>754</v>
      </c>
      <c r="E12" s="10" t="s">
        <v>211</v>
      </c>
      <c r="F12" s="10" t="s">
        <v>95</v>
      </c>
      <c r="G12" s="114" t="s">
        <v>1485</v>
      </c>
      <c r="H12" s="205"/>
      <c r="I12" s="205"/>
      <c r="J12" s="205"/>
      <c r="K12" s="147"/>
      <c r="L12" s="125"/>
      <c r="M12" s="125"/>
      <c r="N12" s="117" t="s">
        <v>1619</v>
      </c>
    </row>
    <row r="13" spans="1:14" ht="15.75" thickBot="1">
      <c r="A13" s="115"/>
      <c r="B13" s="133"/>
      <c r="C13" s="101"/>
      <c r="D13" s="11" t="s">
        <v>229</v>
      </c>
      <c r="E13" s="11" t="s">
        <v>130</v>
      </c>
      <c r="F13" s="11" t="s">
        <v>9</v>
      </c>
      <c r="G13" s="115"/>
      <c r="H13" s="206"/>
      <c r="I13" s="206"/>
      <c r="J13" s="206"/>
      <c r="K13" s="147"/>
      <c r="L13" s="125"/>
      <c r="M13" s="125"/>
      <c r="N13" s="117"/>
    </row>
    <row r="14" spans="1:14" ht="39.75" customHeight="1">
      <c r="A14" s="114" t="s">
        <v>1587</v>
      </c>
      <c r="B14" s="132" t="s">
        <v>756</v>
      </c>
      <c r="C14" s="100" t="s">
        <v>1086</v>
      </c>
      <c r="D14" s="10" t="s">
        <v>210</v>
      </c>
      <c r="E14" s="10" t="s">
        <v>107</v>
      </c>
      <c r="F14" s="10" t="s">
        <v>95</v>
      </c>
      <c r="G14" s="114" t="s">
        <v>1486</v>
      </c>
      <c r="H14" s="205"/>
      <c r="I14" s="205"/>
      <c r="J14" s="205"/>
      <c r="K14" s="147"/>
      <c r="L14" s="125"/>
      <c r="M14" s="125"/>
      <c r="N14" s="117" t="s">
        <v>1620</v>
      </c>
    </row>
    <row r="15" spans="1:14" ht="15.75" thickBot="1">
      <c r="A15" s="115"/>
      <c r="B15" s="133"/>
      <c r="C15" s="101"/>
      <c r="D15" s="11" t="s">
        <v>8</v>
      </c>
      <c r="E15" s="11" t="s">
        <v>122</v>
      </c>
      <c r="F15" s="11" t="s">
        <v>9</v>
      </c>
      <c r="G15" s="115"/>
      <c r="H15" s="206"/>
      <c r="I15" s="206"/>
      <c r="J15" s="206"/>
      <c r="K15" s="147"/>
      <c r="L15" s="125"/>
      <c r="M15" s="125"/>
      <c r="N15" s="117"/>
    </row>
    <row r="16" spans="1:14" ht="30">
      <c r="A16" s="114" t="s">
        <v>1589</v>
      </c>
      <c r="B16" s="132" t="s">
        <v>757</v>
      </c>
      <c r="C16" s="100" t="s">
        <v>1086</v>
      </c>
      <c r="D16" s="10" t="s">
        <v>754</v>
      </c>
      <c r="E16" s="10" t="s">
        <v>211</v>
      </c>
      <c r="F16" s="10" t="s">
        <v>95</v>
      </c>
      <c r="G16" s="114" t="s">
        <v>1487</v>
      </c>
      <c r="H16" s="205"/>
      <c r="I16" s="205"/>
      <c r="J16" s="205"/>
      <c r="K16" s="147"/>
      <c r="L16" s="125"/>
      <c r="M16" s="125"/>
      <c r="N16" s="117" t="s">
        <v>1621</v>
      </c>
    </row>
    <row r="17" spans="1:14" ht="15.75" thickBot="1">
      <c r="A17" s="115"/>
      <c r="B17" s="133"/>
      <c r="C17" s="101"/>
      <c r="D17" s="11" t="s">
        <v>376</v>
      </c>
      <c r="E17" s="11" t="s">
        <v>192</v>
      </c>
      <c r="F17" s="11" t="s">
        <v>9</v>
      </c>
      <c r="G17" s="115"/>
      <c r="H17" s="206"/>
      <c r="I17" s="206"/>
      <c r="J17" s="206"/>
      <c r="K17" s="147"/>
      <c r="L17" s="125"/>
      <c r="M17" s="125"/>
      <c r="N17" s="117"/>
    </row>
    <row r="18" spans="1:14" ht="15" customHeight="1" thickBot="1">
      <c r="A18" s="53"/>
      <c r="B18" s="210" t="s">
        <v>1231</v>
      </c>
      <c r="C18" s="211"/>
      <c r="D18" s="211"/>
      <c r="E18" s="211"/>
      <c r="F18" s="211"/>
      <c r="G18" s="212"/>
      <c r="H18" s="38"/>
      <c r="I18" s="38"/>
      <c r="J18" s="38"/>
      <c r="N18" s="54"/>
    </row>
    <row r="19" spans="1:14" ht="39.75" customHeight="1">
      <c r="A19" s="114" t="s">
        <v>1590</v>
      </c>
      <c r="B19" s="132" t="s">
        <v>758</v>
      </c>
      <c r="C19" s="100" t="s">
        <v>1086</v>
      </c>
      <c r="D19" s="10" t="s">
        <v>741</v>
      </c>
      <c r="E19" s="10" t="s">
        <v>105</v>
      </c>
      <c r="F19" s="10" t="s">
        <v>95</v>
      </c>
      <c r="G19" s="114" t="s">
        <v>1488</v>
      </c>
      <c r="H19" s="205"/>
      <c r="I19" s="205"/>
      <c r="J19" s="205"/>
      <c r="K19" s="147"/>
      <c r="L19" s="125"/>
      <c r="M19" s="125"/>
      <c r="N19" s="117" t="s">
        <v>1622</v>
      </c>
    </row>
    <row r="20" spans="1:14" ht="15.75" thickBot="1">
      <c r="A20" s="115"/>
      <c r="B20" s="133"/>
      <c r="C20" s="101"/>
      <c r="D20" s="11" t="s">
        <v>111</v>
      </c>
      <c r="E20" s="11" t="s">
        <v>92</v>
      </c>
      <c r="F20" s="11" t="s">
        <v>9</v>
      </c>
      <c r="G20" s="115"/>
      <c r="H20" s="206"/>
      <c r="I20" s="206"/>
      <c r="J20" s="206"/>
      <c r="K20" s="147"/>
      <c r="L20" s="125"/>
      <c r="M20" s="125"/>
      <c r="N20" s="117"/>
    </row>
    <row r="21" spans="1:14" ht="39.75" customHeight="1">
      <c r="A21" s="114" t="s">
        <v>1591</v>
      </c>
      <c r="B21" s="132" t="s">
        <v>759</v>
      </c>
      <c r="C21" s="100" t="s">
        <v>1086</v>
      </c>
      <c r="D21" s="10" t="s">
        <v>107</v>
      </c>
      <c r="E21" s="10" t="s">
        <v>91</v>
      </c>
      <c r="F21" s="10" t="s">
        <v>95</v>
      </c>
      <c r="G21" s="114" t="s">
        <v>1489</v>
      </c>
      <c r="H21" s="205"/>
      <c r="I21" s="205"/>
      <c r="J21" s="205"/>
      <c r="K21" s="147"/>
      <c r="L21" s="125"/>
      <c r="M21" s="125"/>
      <c r="N21" s="117" t="s">
        <v>1623</v>
      </c>
    </row>
    <row r="22" spans="1:14" ht="15.75" thickBot="1">
      <c r="A22" s="115"/>
      <c r="B22" s="133"/>
      <c r="C22" s="101"/>
      <c r="D22" s="11" t="s">
        <v>130</v>
      </c>
      <c r="E22" s="11" t="s">
        <v>716</v>
      </c>
      <c r="F22" s="11" t="s">
        <v>9</v>
      </c>
      <c r="G22" s="115"/>
      <c r="H22" s="206"/>
      <c r="I22" s="206"/>
      <c r="J22" s="206"/>
      <c r="K22" s="147"/>
      <c r="L22" s="125"/>
      <c r="M22" s="125"/>
      <c r="N22" s="117"/>
    </row>
    <row r="23" spans="1:14" ht="30">
      <c r="A23" s="114" t="s">
        <v>1592</v>
      </c>
      <c r="B23" s="132" t="s">
        <v>752</v>
      </c>
      <c r="C23" s="100" t="s">
        <v>1086</v>
      </c>
      <c r="D23" s="10" t="s">
        <v>116</v>
      </c>
      <c r="E23" s="10" t="s">
        <v>121</v>
      </c>
      <c r="F23" s="10" t="s">
        <v>95</v>
      </c>
      <c r="G23" s="114" t="s">
        <v>1490</v>
      </c>
      <c r="H23" s="205"/>
      <c r="I23" s="205"/>
      <c r="J23" s="205"/>
      <c r="K23" s="147"/>
      <c r="L23" s="125"/>
      <c r="M23" s="125"/>
      <c r="N23" s="117" t="s">
        <v>1624</v>
      </c>
    </row>
    <row r="24" spans="1:14" ht="15.75" thickBot="1">
      <c r="A24" s="115"/>
      <c r="B24" s="133"/>
      <c r="C24" s="101"/>
      <c r="D24" s="11" t="s">
        <v>111</v>
      </c>
      <c r="E24" s="11" t="s">
        <v>192</v>
      </c>
      <c r="F24" s="11" t="s">
        <v>9</v>
      </c>
      <c r="G24" s="115"/>
      <c r="H24" s="206"/>
      <c r="I24" s="206"/>
      <c r="J24" s="206"/>
      <c r="K24" s="147"/>
      <c r="L24" s="125"/>
      <c r="M24" s="125"/>
      <c r="N24" s="117"/>
    </row>
    <row r="25" spans="1:14" ht="27" customHeight="1" thickBot="1">
      <c r="A25" s="49"/>
      <c r="B25" s="207" t="s">
        <v>1232</v>
      </c>
      <c r="C25" s="208"/>
      <c r="D25" s="208"/>
      <c r="E25" s="208"/>
      <c r="F25" s="208"/>
      <c r="G25" s="209"/>
      <c r="H25" s="38"/>
      <c r="I25" s="38"/>
      <c r="J25" s="38"/>
      <c r="N25" s="54"/>
    </row>
    <row r="26" spans="1:14" ht="54" customHeight="1" thickBot="1">
      <c r="A26" s="104" t="s">
        <v>1593</v>
      </c>
      <c r="B26" s="132" t="s">
        <v>760</v>
      </c>
      <c r="C26" s="100" t="s">
        <v>1086</v>
      </c>
      <c r="D26" s="10" t="s">
        <v>761</v>
      </c>
      <c r="E26" s="10" t="s">
        <v>128</v>
      </c>
      <c r="F26" s="10" t="s">
        <v>95</v>
      </c>
      <c r="G26" s="114" t="s">
        <v>1491</v>
      </c>
      <c r="H26" s="205"/>
      <c r="I26" s="205"/>
      <c r="J26" s="205"/>
      <c r="K26" s="147"/>
      <c r="L26" s="125"/>
      <c r="M26" s="125"/>
      <c r="N26" s="117" t="s">
        <v>1625</v>
      </c>
    </row>
    <row r="27" spans="1:14" ht="15.75" thickBot="1">
      <c r="A27" s="104"/>
      <c r="B27" s="133"/>
      <c r="C27" s="101"/>
      <c r="D27" s="28">
        <v>1.4</v>
      </c>
      <c r="E27" s="11" t="s">
        <v>111</v>
      </c>
      <c r="F27" s="11" t="s">
        <v>9</v>
      </c>
      <c r="G27" s="115"/>
      <c r="H27" s="206"/>
      <c r="I27" s="206"/>
      <c r="J27" s="206"/>
      <c r="K27" s="147"/>
      <c r="L27" s="125"/>
      <c r="M27" s="125"/>
      <c r="N27" s="117"/>
    </row>
    <row r="28" spans="1:14" ht="67.5" customHeight="1" thickBot="1">
      <c r="A28" s="104" t="s">
        <v>1594</v>
      </c>
      <c r="B28" s="132" t="s">
        <v>762</v>
      </c>
      <c r="C28" s="100" t="s">
        <v>1086</v>
      </c>
      <c r="D28" s="10" t="s">
        <v>754</v>
      </c>
      <c r="E28" s="10" t="s">
        <v>211</v>
      </c>
      <c r="F28" s="10" t="s">
        <v>95</v>
      </c>
      <c r="G28" s="114" t="s">
        <v>1492</v>
      </c>
      <c r="H28" s="205"/>
      <c r="I28" s="205"/>
      <c r="J28" s="205"/>
      <c r="K28" s="147"/>
      <c r="L28" s="125"/>
      <c r="M28" s="125"/>
      <c r="N28" s="117" t="s">
        <v>1626</v>
      </c>
    </row>
    <row r="29" spans="1:14" ht="15.75" thickBot="1">
      <c r="A29" s="104"/>
      <c r="B29" s="133"/>
      <c r="C29" s="101"/>
      <c r="D29" s="11" t="s">
        <v>248</v>
      </c>
      <c r="E29" s="11" t="s">
        <v>192</v>
      </c>
      <c r="F29" s="11" t="s">
        <v>9</v>
      </c>
      <c r="G29" s="115"/>
      <c r="H29" s="206"/>
      <c r="I29" s="206"/>
      <c r="J29" s="206"/>
      <c r="K29" s="147"/>
      <c r="L29" s="125"/>
      <c r="M29" s="125"/>
      <c r="N29" s="117"/>
    </row>
    <row r="30" spans="1:14" ht="15" customHeight="1" thickBot="1">
      <c r="A30" s="49"/>
      <c r="B30" s="207" t="s">
        <v>1233</v>
      </c>
      <c r="C30" s="208"/>
      <c r="D30" s="208"/>
      <c r="E30" s="208"/>
      <c r="F30" s="208"/>
      <c r="G30" s="209"/>
      <c r="H30" s="38"/>
      <c r="I30" s="38"/>
      <c r="J30" s="38"/>
      <c r="N30" s="54"/>
    </row>
    <row r="31" spans="1:14" ht="39.75" customHeight="1" thickBot="1">
      <c r="A31" s="104" t="s">
        <v>1595</v>
      </c>
      <c r="B31" s="132" t="s">
        <v>759</v>
      </c>
      <c r="C31" s="100" t="s">
        <v>1086</v>
      </c>
      <c r="D31" s="10" t="s">
        <v>763</v>
      </c>
      <c r="E31" s="10" t="s">
        <v>90</v>
      </c>
      <c r="F31" s="100" t="s">
        <v>742</v>
      </c>
      <c r="G31" s="114" t="s">
        <v>1493</v>
      </c>
      <c r="H31" s="205"/>
      <c r="I31" s="205"/>
      <c r="J31" s="205"/>
      <c r="K31" s="147"/>
      <c r="L31" s="125"/>
      <c r="M31" s="125"/>
      <c r="N31" s="117" t="s">
        <v>1627</v>
      </c>
    </row>
    <row r="32" spans="1:14" ht="15.75" thickBot="1">
      <c r="A32" s="104"/>
      <c r="B32" s="133"/>
      <c r="C32" s="101"/>
      <c r="D32" s="11" t="s">
        <v>376</v>
      </c>
      <c r="E32" s="11" t="s">
        <v>716</v>
      </c>
      <c r="F32" s="101"/>
      <c r="G32" s="115"/>
      <c r="H32" s="206"/>
      <c r="I32" s="206"/>
      <c r="J32" s="206"/>
      <c r="K32" s="147"/>
      <c r="L32" s="125"/>
      <c r="M32" s="125"/>
      <c r="N32" s="117"/>
    </row>
    <row r="33" spans="1:14" ht="15" customHeight="1" thickBot="1">
      <c r="A33" s="49"/>
      <c r="B33" s="207" t="s">
        <v>1234</v>
      </c>
      <c r="C33" s="208"/>
      <c r="D33" s="208"/>
      <c r="E33" s="208"/>
      <c r="F33" s="208"/>
      <c r="G33" s="209"/>
      <c r="H33" s="38"/>
      <c r="I33" s="38"/>
      <c r="J33" s="38"/>
      <c r="L33" s="3" t="s">
        <v>1630</v>
      </c>
      <c r="N33" s="54"/>
    </row>
    <row r="34" spans="1:14" ht="39.75" customHeight="1" thickBot="1">
      <c r="A34" s="104" t="s">
        <v>1596</v>
      </c>
      <c r="B34" s="132" t="s">
        <v>758</v>
      </c>
      <c r="C34" s="100" t="s">
        <v>1086</v>
      </c>
      <c r="D34" s="10" t="s">
        <v>210</v>
      </c>
      <c r="E34" s="10" t="s">
        <v>764</v>
      </c>
      <c r="F34" s="10" t="s">
        <v>95</v>
      </c>
      <c r="G34" s="114" t="s">
        <v>1494</v>
      </c>
      <c r="H34" s="205"/>
      <c r="I34" s="205"/>
      <c r="J34" s="205"/>
      <c r="K34" s="147"/>
      <c r="L34" s="125"/>
      <c r="M34" s="125"/>
      <c r="N34" s="117" t="s">
        <v>1628</v>
      </c>
    </row>
    <row r="35" spans="1:14" ht="15.75" thickBot="1">
      <c r="A35" s="104"/>
      <c r="B35" s="133"/>
      <c r="C35" s="101"/>
      <c r="D35" s="11" t="s">
        <v>229</v>
      </c>
      <c r="E35" s="11" t="s">
        <v>737</v>
      </c>
      <c r="F35" s="11" t="s">
        <v>9</v>
      </c>
      <c r="G35" s="115"/>
      <c r="H35" s="206"/>
      <c r="I35" s="206"/>
      <c r="J35" s="206"/>
      <c r="K35" s="147"/>
      <c r="L35" s="125"/>
      <c r="M35" s="125"/>
      <c r="N35" s="117"/>
    </row>
    <row r="36" spans="1:14" ht="39.75" customHeight="1" thickBot="1">
      <c r="A36" s="104" t="s">
        <v>1597</v>
      </c>
      <c r="B36" s="132" t="s">
        <v>759</v>
      </c>
      <c r="C36" s="100" t="s">
        <v>1086</v>
      </c>
      <c r="D36" s="10" t="s">
        <v>379</v>
      </c>
      <c r="E36" s="10" t="s">
        <v>91</v>
      </c>
      <c r="F36" s="10" t="s">
        <v>95</v>
      </c>
      <c r="G36" s="114" t="s">
        <v>1495</v>
      </c>
      <c r="H36" s="205"/>
      <c r="I36" s="205"/>
      <c r="J36" s="205"/>
      <c r="K36" s="147"/>
      <c r="L36" s="125"/>
      <c r="M36" s="125"/>
      <c r="N36" s="117" t="s">
        <v>1629</v>
      </c>
    </row>
    <row r="37" spans="1:14" ht="15.75" thickBot="1">
      <c r="A37" s="104"/>
      <c r="B37" s="133"/>
      <c r="C37" s="101"/>
      <c r="D37" s="11" t="s">
        <v>378</v>
      </c>
      <c r="E37" s="11" t="s">
        <v>101</v>
      </c>
      <c r="F37" s="11" t="s">
        <v>9</v>
      </c>
      <c r="G37" s="115"/>
      <c r="H37" s="206"/>
      <c r="I37" s="206"/>
      <c r="J37" s="206"/>
      <c r="K37" s="147"/>
      <c r="L37" s="125"/>
      <c r="M37" s="125"/>
      <c r="N37" s="117"/>
    </row>
    <row r="38" spans="1:14" ht="30.75" thickBot="1">
      <c r="A38" s="104" t="s">
        <v>1598</v>
      </c>
      <c r="B38" s="14" t="s">
        <v>765</v>
      </c>
      <c r="C38" s="100" t="s">
        <v>148</v>
      </c>
      <c r="D38" s="10" t="s">
        <v>91</v>
      </c>
      <c r="E38" s="10" t="s">
        <v>91</v>
      </c>
      <c r="F38" s="10" t="s">
        <v>95</v>
      </c>
      <c r="G38" s="114" t="s">
        <v>1496</v>
      </c>
      <c r="H38" s="205"/>
      <c r="I38" s="205"/>
      <c r="J38" s="205"/>
      <c r="K38" s="147"/>
      <c r="L38" s="125"/>
      <c r="M38" s="125"/>
      <c r="N38" s="117" t="s">
        <v>1631</v>
      </c>
    </row>
    <row r="39" spans="1:14" ht="15.75" thickBot="1">
      <c r="A39" s="104"/>
      <c r="B39" s="17" t="s">
        <v>766</v>
      </c>
      <c r="C39" s="101"/>
      <c r="D39" s="11" t="s">
        <v>716</v>
      </c>
      <c r="E39" s="11" t="s">
        <v>101</v>
      </c>
      <c r="F39" s="11" t="s">
        <v>9</v>
      </c>
      <c r="G39" s="115"/>
      <c r="H39" s="206"/>
      <c r="I39" s="206"/>
      <c r="J39" s="206"/>
      <c r="K39" s="147"/>
      <c r="L39" s="125"/>
      <c r="M39" s="125"/>
      <c r="N39" s="117"/>
    </row>
    <row r="40" spans="1:14" ht="39.75" customHeight="1" thickBot="1">
      <c r="A40" s="104" t="s">
        <v>1599</v>
      </c>
      <c r="B40" s="132" t="s">
        <v>767</v>
      </c>
      <c r="C40" s="100" t="s">
        <v>1086</v>
      </c>
      <c r="D40" s="10" t="s">
        <v>211</v>
      </c>
      <c r="E40" s="10" t="s">
        <v>211</v>
      </c>
      <c r="F40" s="10" t="s">
        <v>95</v>
      </c>
      <c r="G40" s="114" t="s">
        <v>1497</v>
      </c>
      <c r="H40" s="205"/>
      <c r="I40" s="205"/>
      <c r="J40" s="205"/>
      <c r="K40" s="147"/>
      <c r="L40" s="125"/>
      <c r="M40" s="125"/>
      <c r="N40" s="117" t="s">
        <v>1632</v>
      </c>
    </row>
    <row r="41" spans="1:14" ht="15.75" thickBot="1">
      <c r="A41" s="104"/>
      <c r="B41" s="133"/>
      <c r="C41" s="101"/>
      <c r="D41" s="11" t="s">
        <v>394</v>
      </c>
      <c r="E41" s="11" t="s">
        <v>74</v>
      </c>
      <c r="F41" s="11" t="s">
        <v>9</v>
      </c>
      <c r="G41" s="115"/>
      <c r="H41" s="206"/>
      <c r="I41" s="206"/>
      <c r="J41" s="206"/>
      <c r="K41" s="147"/>
      <c r="L41" s="125"/>
      <c r="M41" s="125"/>
      <c r="N41" s="117"/>
    </row>
    <row r="42" spans="1:14" ht="15" customHeight="1" thickBot="1">
      <c r="A42" s="104" t="s">
        <v>1600</v>
      </c>
      <c r="B42" s="207" t="s">
        <v>768</v>
      </c>
      <c r="C42" s="208"/>
      <c r="D42" s="208"/>
      <c r="E42" s="208"/>
      <c r="F42" s="208"/>
      <c r="G42" s="209"/>
      <c r="H42" s="38"/>
      <c r="I42" s="38"/>
      <c r="J42" s="38"/>
      <c r="N42" s="54"/>
    </row>
    <row r="43" spans="1:14" ht="30.75" thickBot="1">
      <c r="A43" s="104"/>
      <c r="B43" s="14" t="s">
        <v>769</v>
      </c>
      <c r="C43" s="100" t="s">
        <v>771</v>
      </c>
      <c r="D43" s="10" t="s">
        <v>761</v>
      </c>
      <c r="E43" s="10" t="s">
        <v>732</v>
      </c>
      <c r="F43" s="10" t="s">
        <v>1567</v>
      </c>
      <c r="G43" s="114" t="s">
        <v>1498</v>
      </c>
      <c r="H43" s="205"/>
      <c r="I43" s="205"/>
      <c r="J43" s="205"/>
      <c r="K43" s="147"/>
      <c r="L43" s="125"/>
      <c r="M43" s="125"/>
      <c r="N43" s="117"/>
    </row>
    <row r="44" spans="1:14" ht="30.75" thickBot="1">
      <c r="A44" s="104"/>
      <c r="B44" s="17" t="s">
        <v>770</v>
      </c>
      <c r="C44" s="101"/>
      <c r="D44" s="11" t="s">
        <v>772</v>
      </c>
      <c r="E44" s="11" t="s">
        <v>50</v>
      </c>
      <c r="F44" s="11" t="s">
        <v>9</v>
      </c>
      <c r="G44" s="115"/>
      <c r="H44" s="206"/>
      <c r="I44" s="206"/>
      <c r="J44" s="206"/>
      <c r="K44" s="147"/>
      <c r="L44" s="125"/>
      <c r="M44" s="125"/>
      <c r="N44" s="117"/>
    </row>
    <row r="45" spans="1:14" ht="39.75" customHeight="1" thickBot="1">
      <c r="A45" s="104" t="s">
        <v>1601</v>
      </c>
      <c r="B45" s="132" t="s">
        <v>773</v>
      </c>
      <c r="C45" s="100" t="s">
        <v>1086</v>
      </c>
      <c r="D45" s="10" t="s">
        <v>715</v>
      </c>
      <c r="E45" s="10" t="s">
        <v>732</v>
      </c>
      <c r="F45" s="10" t="s">
        <v>1567</v>
      </c>
      <c r="G45" s="114" t="s">
        <v>1499</v>
      </c>
      <c r="H45" s="205"/>
      <c r="I45" s="205"/>
      <c r="J45" s="205"/>
      <c r="K45" s="147"/>
      <c r="L45" s="125"/>
      <c r="M45" s="125"/>
      <c r="N45" s="117" t="s">
        <v>1635</v>
      </c>
    </row>
    <row r="46" spans="1:14" ht="15.75" thickBot="1">
      <c r="A46" s="104"/>
      <c r="B46" s="133"/>
      <c r="C46" s="101"/>
      <c r="D46" s="11" t="s">
        <v>13</v>
      </c>
      <c r="E46" s="11" t="s">
        <v>50</v>
      </c>
      <c r="F46" s="11" t="s">
        <v>9</v>
      </c>
      <c r="G46" s="115"/>
      <c r="H46" s="206"/>
      <c r="I46" s="206"/>
      <c r="J46" s="206"/>
      <c r="K46" s="147"/>
      <c r="L46" s="125"/>
      <c r="M46" s="125"/>
      <c r="N46" s="117"/>
    </row>
    <row r="47" spans="1:14" ht="39.75" customHeight="1" thickBot="1">
      <c r="A47" s="104" t="s">
        <v>1602</v>
      </c>
      <c r="B47" s="132" t="s">
        <v>774</v>
      </c>
      <c r="C47" s="100" t="s">
        <v>1086</v>
      </c>
      <c r="D47" s="10" t="s">
        <v>775</v>
      </c>
      <c r="E47" s="10" t="s">
        <v>210</v>
      </c>
      <c r="F47" s="10" t="s">
        <v>1567</v>
      </c>
      <c r="G47" s="114" t="s">
        <v>1500</v>
      </c>
      <c r="H47" s="205"/>
      <c r="I47" s="205"/>
      <c r="J47" s="205"/>
      <c r="K47" s="147"/>
      <c r="L47" s="125"/>
      <c r="M47" s="125"/>
      <c r="N47" s="117" t="s">
        <v>1634</v>
      </c>
    </row>
    <row r="48" spans="1:14" ht="15.75" thickBot="1">
      <c r="A48" s="104"/>
      <c r="B48" s="133"/>
      <c r="C48" s="101"/>
      <c r="D48" s="11" t="s">
        <v>203</v>
      </c>
      <c r="E48" s="11" t="s">
        <v>248</v>
      </c>
      <c r="F48" s="11" t="s">
        <v>9</v>
      </c>
      <c r="G48" s="115"/>
      <c r="H48" s="206"/>
      <c r="I48" s="206"/>
      <c r="J48" s="206"/>
      <c r="K48" s="147"/>
      <c r="L48" s="125"/>
      <c r="M48" s="125"/>
      <c r="N48" s="117"/>
    </row>
    <row r="49" spans="1:14" ht="26.25" customHeight="1" thickBot="1">
      <c r="A49" s="104" t="s">
        <v>1603</v>
      </c>
      <c r="B49" s="132" t="s">
        <v>776</v>
      </c>
      <c r="C49" s="100" t="s">
        <v>777</v>
      </c>
      <c r="D49" s="10" t="s">
        <v>440</v>
      </c>
      <c r="E49" s="10" t="s">
        <v>763</v>
      </c>
      <c r="F49" s="10" t="s">
        <v>1567</v>
      </c>
      <c r="G49" s="114" t="s">
        <v>1501</v>
      </c>
      <c r="H49" s="205"/>
      <c r="I49" s="205"/>
      <c r="J49" s="205"/>
      <c r="K49" s="147"/>
      <c r="L49" s="125"/>
      <c r="M49" s="125"/>
      <c r="N49" s="117" t="s">
        <v>1633</v>
      </c>
    </row>
    <row r="50" spans="1:14" ht="15.75" thickBot="1">
      <c r="A50" s="104"/>
      <c r="B50" s="133"/>
      <c r="C50" s="101"/>
      <c r="D50" s="11" t="s">
        <v>197</v>
      </c>
      <c r="E50" s="11" t="s">
        <v>376</v>
      </c>
      <c r="F50" s="11" t="s">
        <v>9</v>
      </c>
      <c r="G50" s="115"/>
      <c r="H50" s="206"/>
      <c r="I50" s="206"/>
      <c r="J50" s="206"/>
      <c r="K50" s="147"/>
      <c r="L50" s="125"/>
      <c r="M50" s="125"/>
      <c r="N50" s="117"/>
    </row>
    <row r="51" spans="1:14" ht="15.75" thickBot="1">
      <c r="A51" s="104" t="s">
        <v>1604</v>
      </c>
      <c r="B51" s="213" t="s">
        <v>778</v>
      </c>
      <c r="C51" s="214"/>
      <c r="D51" s="214"/>
      <c r="E51" s="214"/>
      <c r="F51" s="203"/>
      <c r="G51" s="114"/>
      <c r="H51" s="205"/>
      <c r="I51" s="205"/>
      <c r="J51" s="205"/>
      <c r="K51" s="147"/>
      <c r="L51" s="125"/>
      <c r="M51" s="125"/>
      <c r="N51" s="54"/>
    </row>
    <row r="52" spans="1:14" ht="15.75" thickBot="1">
      <c r="A52" s="104"/>
      <c r="B52" s="215" t="s">
        <v>779</v>
      </c>
      <c r="C52" s="216"/>
      <c r="D52" s="216"/>
      <c r="E52" s="216"/>
      <c r="F52" s="204"/>
      <c r="G52" s="115"/>
      <c r="H52" s="206"/>
      <c r="I52" s="206"/>
      <c r="J52" s="206"/>
      <c r="K52" s="147"/>
      <c r="L52" s="125"/>
      <c r="M52" s="125"/>
      <c r="N52" s="54"/>
    </row>
  </sheetData>
  <sheetProtection/>
  <mergeCells count="237">
    <mergeCell ref="A49:A50"/>
    <mergeCell ref="A51:A52"/>
    <mergeCell ref="A8:A9"/>
    <mergeCell ref="A10:A11"/>
    <mergeCell ref="A12:A13"/>
    <mergeCell ref="A14:A15"/>
    <mergeCell ref="A16:A17"/>
    <mergeCell ref="A19:A20"/>
    <mergeCell ref="A21:A22"/>
    <mergeCell ref="A23:A24"/>
    <mergeCell ref="A36:A37"/>
    <mergeCell ref="A38:A39"/>
    <mergeCell ref="A40:A41"/>
    <mergeCell ref="A42:A44"/>
    <mergeCell ref="A45:A46"/>
    <mergeCell ref="A47:A48"/>
    <mergeCell ref="K49:K50"/>
    <mergeCell ref="K51:K52"/>
    <mergeCell ref="A1:B1"/>
    <mergeCell ref="A3:A6"/>
    <mergeCell ref="A26:A27"/>
    <mergeCell ref="A28:A29"/>
    <mergeCell ref="A31:A32"/>
    <mergeCell ref="A34:A35"/>
    <mergeCell ref="K36:K37"/>
    <mergeCell ref="K38:K39"/>
    <mergeCell ref="K40:K41"/>
    <mergeCell ref="K43:K44"/>
    <mergeCell ref="K45:K46"/>
    <mergeCell ref="K47:K48"/>
    <mergeCell ref="K21:K22"/>
    <mergeCell ref="K23:K24"/>
    <mergeCell ref="K26:K27"/>
    <mergeCell ref="K28:K29"/>
    <mergeCell ref="K31:K32"/>
    <mergeCell ref="K34:K35"/>
    <mergeCell ref="K8:K9"/>
    <mergeCell ref="K10:K11"/>
    <mergeCell ref="K12:K13"/>
    <mergeCell ref="K14:K15"/>
    <mergeCell ref="K16:K17"/>
    <mergeCell ref="K19:K20"/>
    <mergeCell ref="L3:L7"/>
    <mergeCell ref="M3:M7"/>
    <mergeCell ref="K3:K7"/>
    <mergeCell ref="B12:B13"/>
    <mergeCell ref="C12:C13"/>
    <mergeCell ref="B3:B6"/>
    <mergeCell ref="C3:C6"/>
    <mergeCell ref="D3:F3"/>
    <mergeCell ref="F4:F6"/>
    <mergeCell ref="D5:E5"/>
    <mergeCell ref="D6:E6"/>
    <mergeCell ref="B26:B27"/>
    <mergeCell ref="C26:C27"/>
    <mergeCell ref="B14:B15"/>
    <mergeCell ref="C14:C15"/>
    <mergeCell ref="B16:B17"/>
    <mergeCell ref="C16:C17"/>
    <mergeCell ref="B19:B20"/>
    <mergeCell ref="C19:C20"/>
    <mergeCell ref="C38:C39"/>
    <mergeCell ref="B28:B29"/>
    <mergeCell ref="C28:C29"/>
    <mergeCell ref="B31:B32"/>
    <mergeCell ref="C31:C32"/>
    <mergeCell ref="F31:F32"/>
    <mergeCell ref="B30:G30"/>
    <mergeCell ref="B49:B50"/>
    <mergeCell ref="C49:C50"/>
    <mergeCell ref="B51:F51"/>
    <mergeCell ref="B52:F52"/>
    <mergeCell ref="B40:B41"/>
    <mergeCell ref="C40:C41"/>
    <mergeCell ref="C43:C44"/>
    <mergeCell ref="B45:B46"/>
    <mergeCell ref="C45:C46"/>
    <mergeCell ref="G3:G6"/>
    <mergeCell ref="G8:G9"/>
    <mergeCell ref="G10:G11"/>
    <mergeCell ref="G12:G13"/>
    <mergeCell ref="G14:G15"/>
    <mergeCell ref="B7:G7"/>
    <mergeCell ref="B8:B9"/>
    <mergeCell ref="C8:C9"/>
    <mergeCell ref="B10:B11"/>
    <mergeCell ref="C10:C11"/>
    <mergeCell ref="G16:G17"/>
    <mergeCell ref="G21:G22"/>
    <mergeCell ref="G23:G24"/>
    <mergeCell ref="B25:G25"/>
    <mergeCell ref="B18:G18"/>
    <mergeCell ref="G19:G20"/>
    <mergeCell ref="B21:B22"/>
    <mergeCell ref="C21:C22"/>
    <mergeCell ref="B23:B24"/>
    <mergeCell ref="C23:C24"/>
    <mergeCell ref="G26:G27"/>
    <mergeCell ref="G28:G29"/>
    <mergeCell ref="G31:G32"/>
    <mergeCell ref="G34:G35"/>
    <mergeCell ref="B33:G33"/>
    <mergeCell ref="G36:G37"/>
    <mergeCell ref="B34:B35"/>
    <mergeCell ref="C34:C35"/>
    <mergeCell ref="B36:B37"/>
    <mergeCell ref="C36:C37"/>
    <mergeCell ref="G49:G50"/>
    <mergeCell ref="G51:G52"/>
    <mergeCell ref="G38:G39"/>
    <mergeCell ref="G40:G41"/>
    <mergeCell ref="B42:G42"/>
    <mergeCell ref="G43:G44"/>
    <mergeCell ref="G45:G46"/>
    <mergeCell ref="G47:G48"/>
    <mergeCell ref="B47:B48"/>
    <mergeCell ref="C47:C48"/>
    <mergeCell ref="H3:J5"/>
    <mergeCell ref="H8:H9"/>
    <mergeCell ref="I8:I9"/>
    <mergeCell ref="J8:J9"/>
    <mergeCell ref="J10:J11"/>
    <mergeCell ref="I10:I11"/>
    <mergeCell ref="H10:H11"/>
    <mergeCell ref="H12:H13"/>
    <mergeCell ref="I12:I13"/>
    <mergeCell ref="J12:J13"/>
    <mergeCell ref="J14:J15"/>
    <mergeCell ref="I14:I15"/>
    <mergeCell ref="H14:H15"/>
    <mergeCell ref="H16:H17"/>
    <mergeCell ref="I16:I17"/>
    <mergeCell ref="J16:J17"/>
    <mergeCell ref="H19:H20"/>
    <mergeCell ref="I19:I20"/>
    <mergeCell ref="J19:J20"/>
    <mergeCell ref="J21:J22"/>
    <mergeCell ref="I21:I22"/>
    <mergeCell ref="H21:H22"/>
    <mergeCell ref="H23:H24"/>
    <mergeCell ref="I23:I24"/>
    <mergeCell ref="J23:J24"/>
    <mergeCell ref="J26:J27"/>
    <mergeCell ref="I26:I27"/>
    <mergeCell ref="H26:H27"/>
    <mergeCell ref="H51:H52"/>
    <mergeCell ref="I51:I52"/>
    <mergeCell ref="J51:J52"/>
    <mergeCell ref="J49:J50"/>
    <mergeCell ref="I49:I50"/>
    <mergeCell ref="H49:H50"/>
    <mergeCell ref="H47:H48"/>
    <mergeCell ref="I47:I48"/>
    <mergeCell ref="J47:J48"/>
    <mergeCell ref="J45:J46"/>
    <mergeCell ref="I45:I46"/>
    <mergeCell ref="H45:H46"/>
    <mergeCell ref="H43:H44"/>
    <mergeCell ref="I43:I44"/>
    <mergeCell ref="J43:J44"/>
    <mergeCell ref="J40:J41"/>
    <mergeCell ref="I40:I41"/>
    <mergeCell ref="H40:H41"/>
    <mergeCell ref="H38:H39"/>
    <mergeCell ref="I38:I39"/>
    <mergeCell ref="J38:J39"/>
    <mergeCell ref="J36:J37"/>
    <mergeCell ref="I36:I37"/>
    <mergeCell ref="H36:H37"/>
    <mergeCell ref="H34:H35"/>
    <mergeCell ref="I34:I35"/>
    <mergeCell ref="J34:J35"/>
    <mergeCell ref="J31:J32"/>
    <mergeCell ref="I31:I32"/>
    <mergeCell ref="H31:H32"/>
    <mergeCell ref="H28:H29"/>
    <mergeCell ref="I28:I29"/>
    <mergeCell ref="J28:J29"/>
    <mergeCell ref="L8:L9"/>
    <mergeCell ref="M8:M9"/>
    <mergeCell ref="M10:M11"/>
    <mergeCell ref="L10:L11"/>
    <mergeCell ref="L12:L13"/>
    <mergeCell ref="M12:M13"/>
    <mergeCell ref="M14:M15"/>
    <mergeCell ref="L14:L15"/>
    <mergeCell ref="L16:L17"/>
    <mergeCell ref="M16:M17"/>
    <mergeCell ref="M19:M20"/>
    <mergeCell ref="L19:L20"/>
    <mergeCell ref="L21:L22"/>
    <mergeCell ref="M21:M22"/>
    <mergeCell ref="M23:M24"/>
    <mergeCell ref="L23:L24"/>
    <mergeCell ref="L26:L27"/>
    <mergeCell ref="M26:M27"/>
    <mergeCell ref="M28:M29"/>
    <mergeCell ref="L28:L29"/>
    <mergeCell ref="L31:L32"/>
    <mergeCell ref="M31:M32"/>
    <mergeCell ref="M34:M35"/>
    <mergeCell ref="L34:L35"/>
    <mergeCell ref="L36:L37"/>
    <mergeCell ref="M36:M37"/>
    <mergeCell ref="M38:M39"/>
    <mergeCell ref="L38:L39"/>
    <mergeCell ref="L40:L41"/>
    <mergeCell ref="M40:M41"/>
    <mergeCell ref="L49:L50"/>
    <mergeCell ref="M49:M50"/>
    <mergeCell ref="M51:M52"/>
    <mergeCell ref="L51:L52"/>
    <mergeCell ref="M43:M44"/>
    <mergeCell ref="L43:L44"/>
    <mergeCell ref="L45:L46"/>
    <mergeCell ref="M45:M46"/>
    <mergeCell ref="M47:M48"/>
    <mergeCell ref="L47:L48"/>
    <mergeCell ref="N8:N9"/>
    <mergeCell ref="N10:N11"/>
    <mergeCell ref="N12:N13"/>
    <mergeCell ref="N14:N15"/>
    <mergeCell ref="N16:N17"/>
    <mergeCell ref="N19:N20"/>
    <mergeCell ref="N21:N22"/>
    <mergeCell ref="N23:N24"/>
    <mergeCell ref="N26:N27"/>
    <mergeCell ref="N28:N29"/>
    <mergeCell ref="N31:N32"/>
    <mergeCell ref="N34:N35"/>
    <mergeCell ref="N49:N50"/>
    <mergeCell ref="N36:N37"/>
    <mergeCell ref="N38:N39"/>
    <mergeCell ref="N40:N41"/>
    <mergeCell ref="N43:N44"/>
    <mergeCell ref="N45:N46"/>
    <mergeCell ref="N47:N4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4"/>
  </sheetPr>
  <dimension ref="A1:N48"/>
  <sheetViews>
    <sheetView zoomScalePageLayoutView="0" workbookViewId="0" topLeftCell="A1">
      <selection activeCell="A1" sqref="A1:B1"/>
    </sheetView>
  </sheetViews>
  <sheetFormatPr defaultColWidth="8.8515625" defaultRowHeight="15"/>
  <cols>
    <col min="1" max="1" width="8.8515625" style="64" customWidth="1"/>
    <col min="2" max="2" width="25.28125" style="3" customWidth="1"/>
    <col min="3" max="6" width="8.8515625" style="3" customWidth="1"/>
    <col min="7" max="7" width="10.421875" style="3" customWidth="1"/>
    <col min="8" max="8" width="10.28125" style="3" customWidth="1"/>
    <col min="9" max="9" width="8.8515625" style="3" customWidth="1"/>
    <col min="10" max="10" width="11.28125" style="3" customWidth="1"/>
    <col min="11" max="14" width="17.28125" style="3" customWidth="1"/>
    <col min="15" max="16384" width="8.8515625" style="3" customWidth="1"/>
  </cols>
  <sheetData>
    <row r="1" spans="1:2" ht="15">
      <c r="A1" s="217" t="s">
        <v>696</v>
      </c>
      <c r="B1" s="217"/>
    </row>
    <row r="2" ht="15.75" thickBot="1">
      <c r="B2" s="9"/>
    </row>
    <row r="3" spans="1:14" ht="15" customHeight="1" thickBot="1">
      <c r="A3" s="104" t="s">
        <v>1583</v>
      </c>
      <c r="B3" s="100" t="s">
        <v>1</v>
      </c>
      <c r="C3" s="100" t="s">
        <v>2</v>
      </c>
      <c r="D3" s="110" t="s">
        <v>144</v>
      </c>
      <c r="E3" s="111"/>
      <c r="F3" s="112"/>
      <c r="G3" s="110" t="s">
        <v>79</v>
      </c>
      <c r="H3" s="111"/>
      <c r="I3" s="112"/>
      <c r="J3" s="195" t="s">
        <v>1334</v>
      </c>
      <c r="K3" s="102" t="s">
        <v>1576</v>
      </c>
      <c r="L3" s="102"/>
      <c r="M3" s="102"/>
      <c r="N3" s="102"/>
    </row>
    <row r="4" spans="1:14" ht="30.75" thickBot="1">
      <c r="A4" s="104"/>
      <c r="B4" s="109"/>
      <c r="C4" s="109"/>
      <c r="D4" s="13" t="s">
        <v>697</v>
      </c>
      <c r="E4" s="13" t="s">
        <v>698</v>
      </c>
      <c r="F4" s="100" t="s">
        <v>5</v>
      </c>
      <c r="G4" s="110" t="s">
        <v>146</v>
      </c>
      <c r="H4" s="112"/>
      <c r="I4" s="100" t="s">
        <v>84</v>
      </c>
      <c r="J4" s="195"/>
      <c r="K4" s="102"/>
      <c r="L4" s="102"/>
      <c r="M4" s="102"/>
      <c r="N4" s="102"/>
    </row>
    <row r="5" spans="1:14" ht="15.75" thickBot="1">
      <c r="A5" s="104"/>
      <c r="B5" s="109"/>
      <c r="C5" s="109"/>
      <c r="D5" s="119" t="s">
        <v>699</v>
      </c>
      <c r="E5" s="177"/>
      <c r="F5" s="109"/>
      <c r="G5" s="100" t="s">
        <v>85</v>
      </c>
      <c r="H5" s="100" t="s">
        <v>86</v>
      </c>
      <c r="I5" s="109"/>
      <c r="J5" s="195"/>
      <c r="K5" s="102"/>
      <c r="L5" s="102"/>
      <c r="M5" s="102"/>
      <c r="N5" s="102"/>
    </row>
    <row r="6" spans="1:14" ht="15.75" thickBot="1">
      <c r="A6" s="104"/>
      <c r="B6" s="101"/>
      <c r="C6" s="101"/>
      <c r="D6" s="179" t="s">
        <v>4</v>
      </c>
      <c r="E6" s="180"/>
      <c r="F6" s="101"/>
      <c r="G6" s="101"/>
      <c r="H6" s="101"/>
      <c r="I6" s="101"/>
      <c r="J6" s="195"/>
      <c r="K6" s="69" t="s">
        <v>1577</v>
      </c>
      <c r="L6" s="69" t="s">
        <v>1578</v>
      </c>
      <c r="M6" s="69" t="s">
        <v>1579</v>
      </c>
      <c r="N6" s="69" t="s">
        <v>1640</v>
      </c>
    </row>
    <row r="7" spans="1:14" ht="33" customHeight="1" thickBot="1">
      <c r="A7" s="104" t="s">
        <v>1584</v>
      </c>
      <c r="B7" s="14" t="s">
        <v>700</v>
      </c>
      <c r="C7" s="100" t="s">
        <v>1086</v>
      </c>
      <c r="D7" s="10" t="s">
        <v>702</v>
      </c>
      <c r="E7" s="10" t="s">
        <v>437</v>
      </c>
      <c r="F7" s="10" t="s">
        <v>95</v>
      </c>
      <c r="G7" s="10" t="s">
        <v>1235</v>
      </c>
      <c r="H7" s="10" t="s">
        <v>1236</v>
      </c>
      <c r="I7" s="10" t="s">
        <v>96</v>
      </c>
      <c r="J7" s="114" t="s">
        <v>1467</v>
      </c>
      <c r="K7" s="113">
        <f>64*0.00336</f>
        <v>0.21504</v>
      </c>
      <c r="L7" s="113">
        <f>3861*0.00336</f>
        <v>12.97296</v>
      </c>
      <c r="M7" s="113">
        <v>0</v>
      </c>
      <c r="N7" s="113">
        <f>2100*0.00336</f>
        <v>7.056</v>
      </c>
    </row>
    <row r="8" spans="1:14" ht="30.75" thickBot="1">
      <c r="A8" s="104"/>
      <c r="B8" s="17" t="s">
        <v>701</v>
      </c>
      <c r="C8" s="101"/>
      <c r="D8" s="11" t="s">
        <v>192</v>
      </c>
      <c r="E8" s="11" t="s">
        <v>703</v>
      </c>
      <c r="F8" s="11" t="s">
        <v>704</v>
      </c>
      <c r="G8" s="11" t="s">
        <v>1237</v>
      </c>
      <c r="H8" s="11" t="s">
        <v>1238</v>
      </c>
      <c r="I8" s="11" t="s">
        <v>705</v>
      </c>
      <c r="J8" s="115"/>
      <c r="K8" s="113"/>
      <c r="L8" s="113"/>
      <c r="M8" s="113"/>
      <c r="N8" s="113"/>
    </row>
    <row r="9" spans="1:14" ht="33" customHeight="1" thickBot="1">
      <c r="A9" s="104" t="s">
        <v>1585</v>
      </c>
      <c r="B9" s="14" t="s">
        <v>706</v>
      </c>
      <c r="C9" s="100" t="s">
        <v>1086</v>
      </c>
      <c r="D9" s="10" t="s">
        <v>708</v>
      </c>
      <c r="E9" s="10" t="s">
        <v>125</v>
      </c>
      <c r="F9" s="10" t="s">
        <v>95</v>
      </c>
      <c r="G9" s="10" t="s">
        <v>1239</v>
      </c>
      <c r="H9" s="10" t="s">
        <v>1240</v>
      </c>
      <c r="I9" s="10" t="s">
        <v>96</v>
      </c>
      <c r="J9" s="114" t="s">
        <v>1468</v>
      </c>
      <c r="K9" s="113">
        <f>64*0.00336</f>
        <v>0.21504</v>
      </c>
      <c r="L9" s="113">
        <f>6105*0.00336</f>
        <v>20.512800000000002</v>
      </c>
      <c r="M9" s="113">
        <v>0</v>
      </c>
      <c r="N9" s="113">
        <f>5100*0.00336</f>
        <v>17.136</v>
      </c>
    </row>
    <row r="10" spans="1:14" ht="33" thickBot="1">
      <c r="A10" s="104"/>
      <c r="B10" s="15" t="s">
        <v>707</v>
      </c>
      <c r="C10" s="109"/>
      <c r="D10" s="16" t="s">
        <v>309</v>
      </c>
      <c r="E10" s="16" t="s">
        <v>166</v>
      </c>
      <c r="F10" s="16" t="s">
        <v>9</v>
      </c>
      <c r="G10" s="16" t="s">
        <v>1241</v>
      </c>
      <c r="H10" s="16" t="s">
        <v>1242</v>
      </c>
      <c r="I10" s="16" t="s">
        <v>709</v>
      </c>
      <c r="J10" s="116"/>
      <c r="K10" s="113"/>
      <c r="L10" s="113"/>
      <c r="M10" s="113"/>
      <c r="N10" s="113"/>
    </row>
    <row r="11" spans="1:14" ht="18" thickBot="1">
      <c r="A11" s="104"/>
      <c r="B11" s="17"/>
      <c r="C11" s="101"/>
      <c r="D11" s="11"/>
      <c r="E11" s="11"/>
      <c r="F11" s="11"/>
      <c r="G11" s="11" t="s">
        <v>1243</v>
      </c>
      <c r="H11" s="11" t="s">
        <v>1193</v>
      </c>
      <c r="I11" s="11" t="s">
        <v>710</v>
      </c>
      <c r="J11" s="115"/>
      <c r="K11" s="113"/>
      <c r="L11" s="113"/>
      <c r="M11" s="113"/>
      <c r="N11" s="113"/>
    </row>
    <row r="12" spans="1:14" ht="33" customHeight="1" thickBot="1">
      <c r="A12" s="104" t="s">
        <v>1586</v>
      </c>
      <c r="B12" s="14" t="s">
        <v>711</v>
      </c>
      <c r="C12" s="100" t="s">
        <v>1086</v>
      </c>
      <c r="D12" s="10" t="s">
        <v>712</v>
      </c>
      <c r="E12" s="10" t="s">
        <v>211</v>
      </c>
      <c r="F12" s="10" t="s">
        <v>95</v>
      </c>
      <c r="G12" s="10" t="s">
        <v>1244</v>
      </c>
      <c r="H12" s="10" t="s">
        <v>1245</v>
      </c>
      <c r="I12" s="10" t="s">
        <v>96</v>
      </c>
      <c r="J12" s="114" t="s">
        <v>1469</v>
      </c>
      <c r="K12" s="113">
        <f>64*0.00336</f>
        <v>0.21504</v>
      </c>
      <c r="L12" s="113">
        <f>5280*0.00336</f>
        <v>17.7408</v>
      </c>
      <c r="M12" s="113">
        <v>0</v>
      </c>
      <c r="N12" s="113">
        <f>7500*0.00336</f>
        <v>25.2</v>
      </c>
    </row>
    <row r="13" spans="1:14" ht="33" thickBot="1">
      <c r="A13" s="104"/>
      <c r="B13" s="15" t="s">
        <v>701</v>
      </c>
      <c r="C13" s="109"/>
      <c r="D13" s="16" t="s">
        <v>593</v>
      </c>
      <c r="E13" s="16" t="s">
        <v>713</v>
      </c>
      <c r="F13" s="16" t="s">
        <v>9</v>
      </c>
      <c r="G13" s="16" t="s">
        <v>1246</v>
      </c>
      <c r="H13" s="16" t="s">
        <v>1247</v>
      </c>
      <c r="I13" s="16" t="s">
        <v>709</v>
      </c>
      <c r="J13" s="116"/>
      <c r="K13" s="113"/>
      <c r="L13" s="113"/>
      <c r="M13" s="113"/>
      <c r="N13" s="113"/>
    </row>
    <row r="14" spans="1:14" ht="33" thickBot="1">
      <c r="A14" s="104"/>
      <c r="B14" s="15"/>
      <c r="C14" s="109"/>
      <c r="D14" s="16"/>
      <c r="E14" s="16"/>
      <c r="F14" s="16"/>
      <c r="G14" s="16" t="s">
        <v>1248</v>
      </c>
      <c r="H14" s="16" t="s">
        <v>1107</v>
      </c>
      <c r="I14" s="16" t="s">
        <v>714</v>
      </c>
      <c r="J14" s="116"/>
      <c r="K14" s="113"/>
      <c r="L14" s="113"/>
      <c r="M14" s="113"/>
      <c r="N14" s="113"/>
    </row>
    <row r="15" spans="1:14" ht="18" thickBot="1">
      <c r="A15" s="104"/>
      <c r="B15" s="17"/>
      <c r="C15" s="101"/>
      <c r="D15" s="11"/>
      <c r="E15" s="11"/>
      <c r="F15" s="11"/>
      <c r="G15" s="11" t="s">
        <v>1249</v>
      </c>
      <c r="H15" s="11" t="s">
        <v>1250</v>
      </c>
      <c r="I15" s="11" t="s">
        <v>142</v>
      </c>
      <c r="J15" s="115"/>
      <c r="K15" s="113"/>
      <c r="L15" s="113"/>
      <c r="M15" s="113"/>
      <c r="N15" s="113"/>
    </row>
    <row r="16" spans="1:14" ht="33" customHeight="1" thickBot="1">
      <c r="A16" s="104" t="s">
        <v>1587</v>
      </c>
      <c r="B16" s="14" t="s">
        <v>711</v>
      </c>
      <c r="C16" s="100" t="s">
        <v>1086</v>
      </c>
      <c r="D16" s="10" t="s">
        <v>715</v>
      </c>
      <c r="E16" s="10" t="s">
        <v>128</v>
      </c>
      <c r="F16" s="10" t="s">
        <v>95</v>
      </c>
      <c r="G16" s="10" t="s">
        <v>1130</v>
      </c>
      <c r="H16" s="10" t="s">
        <v>1251</v>
      </c>
      <c r="I16" s="10" t="s">
        <v>96</v>
      </c>
      <c r="J16" s="114" t="s">
        <v>1470</v>
      </c>
      <c r="K16" s="113">
        <f>64*0.00336</f>
        <v>0.21504</v>
      </c>
      <c r="L16" s="113">
        <f>8052*0.00336</f>
        <v>27.05472</v>
      </c>
      <c r="M16" s="113">
        <v>0</v>
      </c>
      <c r="N16" s="113">
        <f>9600*0.00336</f>
        <v>32.256</v>
      </c>
    </row>
    <row r="17" spans="1:14" ht="33" thickBot="1">
      <c r="A17" s="104"/>
      <c r="B17" s="15" t="s">
        <v>707</v>
      </c>
      <c r="C17" s="109"/>
      <c r="D17" s="16" t="s">
        <v>309</v>
      </c>
      <c r="E17" s="16" t="s">
        <v>716</v>
      </c>
      <c r="F17" s="16" t="s">
        <v>9</v>
      </c>
      <c r="G17" s="16" t="s">
        <v>1252</v>
      </c>
      <c r="H17" s="16" t="s">
        <v>1253</v>
      </c>
      <c r="I17" s="16" t="s">
        <v>714</v>
      </c>
      <c r="J17" s="116"/>
      <c r="K17" s="113"/>
      <c r="L17" s="113"/>
      <c r="M17" s="113"/>
      <c r="N17" s="113"/>
    </row>
    <row r="18" spans="1:14" ht="18" thickBot="1">
      <c r="A18" s="104"/>
      <c r="B18" s="17"/>
      <c r="C18" s="101"/>
      <c r="D18" s="11"/>
      <c r="E18" s="11"/>
      <c r="F18" s="11"/>
      <c r="G18" s="11" t="s">
        <v>1254</v>
      </c>
      <c r="H18" s="11" t="s">
        <v>1105</v>
      </c>
      <c r="I18" s="11" t="s">
        <v>142</v>
      </c>
      <c r="J18" s="115"/>
      <c r="K18" s="113"/>
      <c r="L18" s="113"/>
      <c r="M18" s="113"/>
      <c r="N18" s="113"/>
    </row>
    <row r="19" spans="1:14" ht="30.75" customHeight="1" thickBot="1">
      <c r="A19" s="104" t="s">
        <v>1589</v>
      </c>
      <c r="B19" s="14" t="s">
        <v>717</v>
      </c>
      <c r="C19" s="100" t="s">
        <v>1086</v>
      </c>
      <c r="D19" s="10" t="s">
        <v>719</v>
      </c>
      <c r="E19" s="10" t="s">
        <v>720</v>
      </c>
      <c r="F19" s="10" t="s">
        <v>95</v>
      </c>
      <c r="G19" s="10" t="s">
        <v>1255</v>
      </c>
      <c r="H19" s="10" t="s">
        <v>1256</v>
      </c>
      <c r="I19" s="10" t="s">
        <v>96</v>
      </c>
      <c r="J19" s="114" t="s">
        <v>1471</v>
      </c>
      <c r="K19" s="113">
        <f>516*0.00336</f>
        <v>1.73376</v>
      </c>
      <c r="L19" s="113">
        <f>4554*0.00336</f>
        <v>15.301440000000001</v>
      </c>
      <c r="M19" s="113">
        <v>0</v>
      </c>
      <c r="N19" s="113">
        <f>13600*0.00336</f>
        <v>45.696000000000005</v>
      </c>
    </row>
    <row r="20" spans="1:14" ht="30.75" thickBot="1">
      <c r="A20" s="104"/>
      <c r="B20" s="17" t="s">
        <v>718</v>
      </c>
      <c r="C20" s="101"/>
      <c r="D20" s="11" t="s">
        <v>75</v>
      </c>
      <c r="E20" s="11" t="s">
        <v>166</v>
      </c>
      <c r="F20" s="11" t="s">
        <v>9</v>
      </c>
      <c r="G20" s="11" t="s">
        <v>1257</v>
      </c>
      <c r="H20" s="11" t="s">
        <v>1258</v>
      </c>
      <c r="I20" s="11" t="s">
        <v>721</v>
      </c>
      <c r="J20" s="115"/>
      <c r="K20" s="113"/>
      <c r="L20" s="113"/>
      <c r="M20" s="113"/>
      <c r="N20" s="113"/>
    </row>
    <row r="21" spans="1:14" ht="33" customHeight="1" thickBot="1">
      <c r="A21" s="104" t="s">
        <v>1590</v>
      </c>
      <c r="B21" s="14" t="s">
        <v>722</v>
      </c>
      <c r="C21" s="100" t="s">
        <v>1086</v>
      </c>
      <c r="D21" s="10" t="s">
        <v>724</v>
      </c>
      <c r="E21" s="10" t="s">
        <v>610</v>
      </c>
      <c r="F21" s="10" t="s">
        <v>95</v>
      </c>
      <c r="G21" s="10" t="s">
        <v>1113</v>
      </c>
      <c r="H21" s="10" t="s">
        <v>1259</v>
      </c>
      <c r="I21" s="10" t="s">
        <v>96</v>
      </c>
      <c r="J21" s="114" t="s">
        <v>1472</v>
      </c>
      <c r="K21" s="113">
        <f>64*0.00336</f>
        <v>0.21504</v>
      </c>
      <c r="L21" s="113">
        <f>15510*0.00336</f>
        <v>52.113600000000005</v>
      </c>
      <c r="M21" s="113">
        <v>0</v>
      </c>
      <c r="N21" s="113">
        <f>39500*0.00336</f>
        <v>132.72</v>
      </c>
    </row>
    <row r="22" spans="1:14" ht="18" thickBot="1">
      <c r="A22" s="104"/>
      <c r="B22" s="17" t="s">
        <v>723</v>
      </c>
      <c r="C22" s="101"/>
      <c r="D22" s="11" t="s">
        <v>503</v>
      </c>
      <c r="E22" s="11" t="s">
        <v>101</v>
      </c>
      <c r="F22" s="11" t="s">
        <v>9</v>
      </c>
      <c r="G22" s="11" t="s">
        <v>1260</v>
      </c>
      <c r="H22" s="11" t="s">
        <v>1117</v>
      </c>
      <c r="I22" s="11" t="s">
        <v>721</v>
      </c>
      <c r="J22" s="115"/>
      <c r="K22" s="113"/>
      <c r="L22" s="113"/>
      <c r="M22" s="113"/>
      <c r="N22" s="113"/>
    </row>
    <row r="23" spans="1:14" ht="33" thickBot="1">
      <c r="A23" s="104" t="s">
        <v>1591</v>
      </c>
      <c r="B23" s="14" t="s">
        <v>725</v>
      </c>
      <c r="C23" s="100" t="s">
        <v>1086</v>
      </c>
      <c r="D23" s="10" t="s">
        <v>727</v>
      </c>
      <c r="E23" s="10" t="s">
        <v>576</v>
      </c>
      <c r="F23" s="10" t="s">
        <v>95</v>
      </c>
      <c r="G23" s="10" t="s">
        <v>1212</v>
      </c>
      <c r="H23" s="10" t="s">
        <v>1261</v>
      </c>
      <c r="I23" s="10" t="s">
        <v>96</v>
      </c>
      <c r="J23" s="114" t="s">
        <v>1473</v>
      </c>
      <c r="K23" s="113">
        <f>59*0.00336</f>
        <v>0.19824</v>
      </c>
      <c r="L23" s="113">
        <f>3036*0.00336</f>
        <v>10.20096</v>
      </c>
      <c r="M23" s="113">
        <v>0</v>
      </c>
      <c r="N23" s="113">
        <f>27500*0.00336</f>
        <v>92.4</v>
      </c>
    </row>
    <row r="24" spans="1:14" ht="30.75" thickBot="1">
      <c r="A24" s="104"/>
      <c r="B24" s="17" t="s">
        <v>726</v>
      </c>
      <c r="C24" s="101"/>
      <c r="D24" s="11" t="s">
        <v>149</v>
      </c>
      <c r="E24" s="11" t="s">
        <v>703</v>
      </c>
      <c r="F24" s="11" t="s">
        <v>9</v>
      </c>
      <c r="G24" s="11" t="s">
        <v>1260</v>
      </c>
      <c r="H24" s="11" t="s">
        <v>1117</v>
      </c>
      <c r="I24" s="11" t="s">
        <v>728</v>
      </c>
      <c r="J24" s="115"/>
      <c r="K24" s="113"/>
      <c r="L24" s="113"/>
      <c r="M24" s="113"/>
      <c r="N24" s="113"/>
    </row>
    <row r="25" spans="1:14" ht="33" customHeight="1" thickBot="1">
      <c r="A25" s="104" t="s">
        <v>1592</v>
      </c>
      <c r="B25" s="14" t="s">
        <v>729</v>
      </c>
      <c r="C25" s="100" t="s">
        <v>1086</v>
      </c>
      <c r="D25" s="10" t="s">
        <v>223</v>
      </c>
      <c r="E25" s="10" t="s">
        <v>712</v>
      </c>
      <c r="F25" s="10" t="s">
        <v>95</v>
      </c>
      <c r="G25" s="10" t="s">
        <v>1262</v>
      </c>
      <c r="H25" s="10" t="s">
        <v>1263</v>
      </c>
      <c r="I25" s="10" t="s">
        <v>96</v>
      </c>
      <c r="J25" s="114" t="s">
        <v>1474</v>
      </c>
      <c r="K25" s="113">
        <f>64*0.00336</f>
        <v>0.21504</v>
      </c>
      <c r="L25" s="113">
        <f>6930*0.00336</f>
        <v>23.2848</v>
      </c>
      <c r="M25" s="113">
        <v>0</v>
      </c>
      <c r="N25" s="113">
        <f>6500*0.00336</f>
        <v>21.84</v>
      </c>
    </row>
    <row r="26" spans="1:14" ht="33" thickBot="1">
      <c r="A26" s="104"/>
      <c r="B26" s="15" t="s">
        <v>730</v>
      </c>
      <c r="C26" s="109"/>
      <c r="D26" s="16" t="s">
        <v>103</v>
      </c>
      <c r="E26" s="16" t="s">
        <v>593</v>
      </c>
      <c r="F26" s="16" t="s">
        <v>9</v>
      </c>
      <c r="G26" s="16" t="s">
        <v>1264</v>
      </c>
      <c r="H26" s="16" t="s">
        <v>1131</v>
      </c>
      <c r="I26" s="16" t="s">
        <v>709</v>
      </c>
      <c r="J26" s="116"/>
      <c r="K26" s="113"/>
      <c r="L26" s="113"/>
      <c r="M26" s="113"/>
      <c r="N26" s="113"/>
    </row>
    <row r="27" spans="1:14" ht="18" thickBot="1">
      <c r="A27" s="104"/>
      <c r="B27" s="15"/>
      <c r="C27" s="109"/>
      <c r="D27" s="16"/>
      <c r="E27" s="16"/>
      <c r="F27" s="16"/>
      <c r="G27" s="16" t="s">
        <v>1265</v>
      </c>
      <c r="H27" s="16" t="s">
        <v>1101</v>
      </c>
      <c r="I27" s="16" t="s">
        <v>714</v>
      </c>
      <c r="J27" s="116"/>
      <c r="K27" s="113"/>
      <c r="L27" s="113"/>
      <c r="M27" s="113"/>
      <c r="N27" s="113"/>
    </row>
    <row r="28" spans="1:14" ht="18" thickBot="1">
      <c r="A28" s="104"/>
      <c r="B28" s="17"/>
      <c r="C28" s="101"/>
      <c r="D28" s="11"/>
      <c r="E28" s="11"/>
      <c r="F28" s="11"/>
      <c r="G28" s="11" t="s">
        <v>1266</v>
      </c>
      <c r="H28" s="11" t="s">
        <v>1267</v>
      </c>
      <c r="I28" s="11" t="s">
        <v>142</v>
      </c>
      <c r="J28" s="115"/>
      <c r="K28" s="113"/>
      <c r="L28" s="113"/>
      <c r="M28" s="113"/>
      <c r="N28" s="113"/>
    </row>
    <row r="29" spans="1:14" ht="33" customHeight="1" thickBot="1">
      <c r="A29" s="104" t="s">
        <v>1593</v>
      </c>
      <c r="B29" s="14" t="s">
        <v>729</v>
      </c>
      <c r="C29" s="100" t="s">
        <v>1086</v>
      </c>
      <c r="D29" s="10" t="s">
        <v>732</v>
      </c>
      <c r="E29" s="10" t="s">
        <v>587</v>
      </c>
      <c r="F29" s="10" t="s">
        <v>95</v>
      </c>
      <c r="G29" s="10" t="s">
        <v>1114</v>
      </c>
      <c r="H29" s="10" t="s">
        <v>1268</v>
      </c>
      <c r="I29" s="10" t="s">
        <v>96</v>
      </c>
      <c r="J29" s="114" t="s">
        <v>1475</v>
      </c>
      <c r="K29" s="113">
        <f>64*0.00336</f>
        <v>0.21504</v>
      </c>
      <c r="L29" s="113">
        <f>8910*0.00336</f>
        <v>29.9376</v>
      </c>
      <c r="M29" s="113">
        <v>0</v>
      </c>
      <c r="N29" s="113">
        <f>8500*0.00336</f>
        <v>28.560000000000002</v>
      </c>
    </row>
    <row r="30" spans="1:14" ht="30.75" thickBot="1">
      <c r="A30" s="104"/>
      <c r="B30" s="17" t="s">
        <v>731</v>
      </c>
      <c r="C30" s="101"/>
      <c r="D30" s="11" t="s">
        <v>503</v>
      </c>
      <c r="E30" s="11" t="s">
        <v>101</v>
      </c>
      <c r="F30" s="11" t="s">
        <v>9</v>
      </c>
      <c r="G30" s="11" t="s">
        <v>1269</v>
      </c>
      <c r="H30" s="11" t="s">
        <v>1270</v>
      </c>
      <c r="I30" s="11" t="s">
        <v>728</v>
      </c>
      <c r="J30" s="115"/>
      <c r="K30" s="113"/>
      <c r="L30" s="113"/>
      <c r="M30" s="113"/>
      <c r="N30" s="113"/>
    </row>
    <row r="31" spans="1:14" ht="33" customHeight="1" thickBot="1">
      <c r="A31" s="104" t="s">
        <v>1594</v>
      </c>
      <c r="B31" s="14" t="s">
        <v>733</v>
      </c>
      <c r="C31" s="100" t="s">
        <v>1086</v>
      </c>
      <c r="D31" s="10" t="s">
        <v>724</v>
      </c>
      <c r="E31" s="10" t="s">
        <v>502</v>
      </c>
      <c r="F31" s="10" t="s">
        <v>95</v>
      </c>
      <c r="G31" s="10" t="s">
        <v>1122</v>
      </c>
      <c r="H31" s="10" t="s">
        <v>1271</v>
      </c>
      <c r="I31" s="10" t="s">
        <v>96</v>
      </c>
      <c r="J31" s="114" t="s">
        <v>1476</v>
      </c>
      <c r="K31" s="113">
        <f>64*0.00336</f>
        <v>0.21504</v>
      </c>
      <c r="L31" s="113">
        <f>2805*0.00336</f>
        <v>9.424800000000001</v>
      </c>
      <c r="M31" s="113">
        <v>0</v>
      </c>
      <c r="N31" s="113">
        <f>2250*0.00336</f>
        <v>7.5600000000000005</v>
      </c>
    </row>
    <row r="32" spans="1:14" ht="18" thickBot="1">
      <c r="A32" s="104"/>
      <c r="B32" s="15" t="s">
        <v>734</v>
      </c>
      <c r="C32" s="109"/>
      <c r="D32" s="16" t="s">
        <v>503</v>
      </c>
      <c r="E32" s="16" t="s">
        <v>101</v>
      </c>
      <c r="F32" s="16" t="s">
        <v>9</v>
      </c>
      <c r="G32" s="16" t="s">
        <v>1272</v>
      </c>
      <c r="H32" s="16" t="s">
        <v>1123</v>
      </c>
      <c r="I32" s="16" t="s">
        <v>709</v>
      </c>
      <c r="J32" s="116"/>
      <c r="K32" s="113"/>
      <c r="L32" s="113"/>
      <c r="M32" s="113"/>
      <c r="N32" s="113"/>
    </row>
    <row r="33" spans="1:14" ht="33" thickBot="1">
      <c r="A33" s="104"/>
      <c r="B33" s="15"/>
      <c r="C33" s="109"/>
      <c r="D33" s="16"/>
      <c r="E33" s="16"/>
      <c r="F33" s="16"/>
      <c r="G33" s="16" t="s">
        <v>1159</v>
      </c>
      <c r="H33" s="16" t="s">
        <v>1223</v>
      </c>
      <c r="I33" s="16" t="s">
        <v>714</v>
      </c>
      <c r="J33" s="116"/>
      <c r="K33" s="113"/>
      <c r="L33" s="113"/>
      <c r="M33" s="113"/>
      <c r="N33" s="113"/>
    </row>
    <row r="34" spans="1:14" ht="30.75" thickBot="1">
      <c r="A34" s="104"/>
      <c r="B34" s="17"/>
      <c r="C34" s="101"/>
      <c r="D34" s="11"/>
      <c r="E34" s="11"/>
      <c r="F34" s="11"/>
      <c r="G34" s="11" t="s">
        <v>1132</v>
      </c>
      <c r="H34" s="11" t="s">
        <v>1133</v>
      </c>
      <c r="I34" s="11" t="s">
        <v>705</v>
      </c>
      <c r="J34" s="115"/>
      <c r="K34" s="113"/>
      <c r="L34" s="113"/>
      <c r="M34" s="113"/>
      <c r="N34" s="113"/>
    </row>
    <row r="35" spans="1:14" ht="33" customHeight="1" thickBot="1">
      <c r="A35" s="104" t="s">
        <v>1595</v>
      </c>
      <c r="B35" s="14" t="s">
        <v>735</v>
      </c>
      <c r="C35" s="100" t="s">
        <v>1086</v>
      </c>
      <c r="D35" s="10" t="s">
        <v>712</v>
      </c>
      <c r="E35" s="10" t="s">
        <v>118</v>
      </c>
      <c r="F35" s="10" t="s">
        <v>95</v>
      </c>
      <c r="G35" s="10" t="s">
        <v>1273</v>
      </c>
      <c r="H35" s="10" t="s">
        <v>1251</v>
      </c>
      <c r="I35" s="10" t="s">
        <v>96</v>
      </c>
      <c r="J35" s="114" t="s">
        <v>1477</v>
      </c>
      <c r="K35" s="113">
        <f>64*0.00336</f>
        <v>0.21504</v>
      </c>
      <c r="L35" s="113">
        <f>3795*0.00336</f>
        <v>12.7512</v>
      </c>
      <c r="M35" s="113">
        <v>0</v>
      </c>
      <c r="N35" s="113">
        <f>2550*0.00336</f>
        <v>8.568</v>
      </c>
    </row>
    <row r="36" spans="1:14" ht="18" thickBot="1">
      <c r="A36" s="104"/>
      <c r="B36" s="15" t="s">
        <v>736</v>
      </c>
      <c r="C36" s="109"/>
      <c r="D36" s="16" t="s">
        <v>593</v>
      </c>
      <c r="E36" s="16" t="s">
        <v>737</v>
      </c>
      <c r="F36" s="16" t="s">
        <v>9</v>
      </c>
      <c r="G36" s="16" t="s">
        <v>1272</v>
      </c>
      <c r="H36" s="16" t="s">
        <v>1123</v>
      </c>
      <c r="I36" s="16" t="s">
        <v>709</v>
      </c>
      <c r="J36" s="116"/>
      <c r="K36" s="113"/>
      <c r="L36" s="113"/>
      <c r="M36" s="113"/>
      <c r="N36" s="113"/>
    </row>
    <row r="37" spans="1:14" ht="30.75" thickBot="1">
      <c r="A37" s="104"/>
      <c r="B37" s="17"/>
      <c r="C37" s="101"/>
      <c r="D37" s="11"/>
      <c r="E37" s="11"/>
      <c r="F37" s="11"/>
      <c r="G37" s="11" t="s">
        <v>1132</v>
      </c>
      <c r="H37" s="11" t="s">
        <v>1133</v>
      </c>
      <c r="I37" s="11" t="s">
        <v>705</v>
      </c>
      <c r="J37" s="115"/>
      <c r="K37" s="113"/>
      <c r="L37" s="113"/>
      <c r="M37" s="113"/>
      <c r="N37" s="113"/>
    </row>
    <row r="38" spans="1:14" ht="33" customHeight="1" thickBot="1">
      <c r="A38" s="104" t="s">
        <v>1596</v>
      </c>
      <c r="B38" s="14" t="s">
        <v>738</v>
      </c>
      <c r="C38" s="100" t="s">
        <v>1086</v>
      </c>
      <c r="D38" s="10" t="s">
        <v>739</v>
      </c>
      <c r="E38" s="10" t="s">
        <v>720</v>
      </c>
      <c r="F38" s="10" t="s">
        <v>95</v>
      </c>
      <c r="G38" s="10" t="s">
        <v>1265</v>
      </c>
      <c r="H38" s="10" t="s">
        <v>1274</v>
      </c>
      <c r="I38" s="10" t="s">
        <v>96</v>
      </c>
      <c r="J38" s="114" t="s">
        <v>1478</v>
      </c>
      <c r="K38" s="113">
        <f>64*0.00336</f>
        <v>0.21504</v>
      </c>
      <c r="L38" s="113">
        <f>5280*0.00336</f>
        <v>17.7408</v>
      </c>
      <c r="M38" s="113">
        <v>0</v>
      </c>
      <c r="N38" s="113">
        <f>5900*0.00336</f>
        <v>19.824</v>
      </c>
    </row>
    <row r="39" spans="1:14" ht="33" thickBot="1">
      <c r="A39" s="104"/>
      <c r="B39" s="15" t="s">
        <v>730</v>
      </c>
      <c r="C39" s="109"/>
      <c r="D39" s="16" t="s">
        <v>309</v>
      </c>
      <c r="E39" s="16" t="s">
        <v>166</v>
      </c>
      <c r="F39" s="16" t="s">
        <v>9</v>
      </c>
      <c r="G39" s="16" t="s">
        <v>1246</v>
      </c>
      <c r="H39" s="16" t="s">
        <v>1247</v>
      </c>
      <c r="I39" s="16" t="s">
        <v>709</v>
      </c>
      <c r="J39" s="116"/>
      <c r="K39" s="113"/>
      <c r="L39" s="113"/>
      <c r="M39" s="113"/>
      <c r="N39" s="113"/>
    </row>
    <row r="40" spans="1:14" ht="18" thickBot="1">
      <c r="A40" s="104"/>
      <c r="B40" s="17"/>
      <c r="C40" s="101"/>
      <c r="D40" s="11"/>
      <c r="E40" s="11"/>
      <c r="F40" s="11"/>
      <c r="G40" s="11" t="s">
        <v>1275</v>
      </c>
      <c r="H40" s="11" t="s">
        <v>1276</v>
      </c>
      <c r="I40" s="11" t="s">
        <v>710</v>
      </c>
      <c r="J40" s="115"/>
      <c r="K40" s="113"/>
      <c r="L40" s="113"/>
      <c r="M40" s="113"/>
      <c r="N40" s="113"/>
    </row>
    <row r="41" spans="1:14" ht="33" customHeight="1" thickBot="1">
      <c r="A41" s="104" t="s">
        <v>1597</v>
      </c>
      <c r="B41" s="14" t="s">
        <v>738</v>
      </c>
      <c r="C41" s="100" t="s">
        <v>1086</v>
      </c>
      <c r="D41" s="10" t="s">
        <v>740</v>
      </c>
      <c r="E41" s="10" t="s">
        <v>741</v>
      </c>
      <c r="F41" s="10" t="s">
        <v>95</v>
      </c>
      <c r="G41" s="10" t="s">
        <v>1264</v>
      </c>
      <c r="H41" s="10" t="s">
        <v>1277</v>
      </c>
      <c r="I41" s="10" t="s">
        <v>96</v>
      </c>
      <c r="J41" s="114" t="s">
        <v>1479</v>
      </c>
      <c r="K41" s="113">
        <f>64*0.00336</f>
        <v>0.21504</v>
      </c>
      <c r="L41" s="113">
        <f>6600*0.00336</f>
        <v>22.176000000000002</v>
      </c>
      <c r="M41" s="113">
        <v>0</v>
      </c>
      <c r="N41" s="113">
        <f>6400*0.00336</f>
        <v>21.504</v>
      </c>
    </row>
    <row r="42" spans="1:14" ht="33" thickBot="1">
      <c r="A42" s="104"/>
      <c r="B42" s="15" t="s">
        <v>731</v>
      </c>
      <c r="C42" s="109"/>
      <c r="D42" s="16" t="s">
        <v>149</v>
      </c>
      <c r="E42" s="16" t="s">
        <v>703</v>
      </c>
      <c r="F42" s="16" t="s">
        <v>9</v>
      </c>
      <c r="G42" s="16" t="s">
        <v>1278</v>
      </c>
      <c r="H42" s="16" t="s">
        <v>1194</v>
      </c>
      <c r="I42" s="16" t="s">
        <v>709</v>
      </c>
      <c r="J42" s="116"/>
      <c r="K42" s="113"/>
      <c r="L42" s="113"/>
      <c r="M42" s="113"/>
      <c r="N42" s="113"/>
    </row>
    <row r="43" spans="1:14" ht="30.75" thickBot="1">
      <c r="A43" s="104"/>
      <c r="B43" s="17"/>
      <c r="C43" s="101"/>
      <c r="D43" s="11"/>
      <c r="E43" s="11"/>
      <c r="F43" s="11"/>
      <c r="G43" s="11" t="s">
        <v>1132</v>
      </c>
      <c r="H43" s="11" t="s">
        <v>1133</v>
      </c>
      <c r="I43" s="11" t="s">
        <v>705</v>
      </c>
      <c r="J43" s="115"/>
      <c r="K43" s="113"/>
      <c r="L43" s="113"/>
      <c r="M43" s="113"/>
      <c r="N43" s="113"/>
    </row>
    <row r="44" spans="1:14" ht="30.75" thickBot="1">
      <c r="A44" s="63" t="s">
        <v>1598</v>
      </c>
      <c r="B44" s="12" t="s">
        <v>744</v>
      </c>
      <c r="C44" s="13" t="s">
        <v>1086</v>
      </c>
      <c r="D44" s="110" t="s">
        <v>112</v>
      </c>
      <c r="E44" s="112"/>
      <c r="F44" s="13" t="s">
        <v>745</v>
      </c>
      <c r="G44" s="13" t="s">
        <v>30</v>
      </c>
      <c r="H44" s="13" t="s">
        <v>30</v>
      </c>
      <c r="I44" s="13" t="s">
        <v>30</v>
      </c>
      <c r="J44" s="34" t="s">
        <v>1480</v>
      </c>
      <c r="K44" s="96">
        <f>252*0.00336</f>
        <v>0.84672</v>
      </c>
      <c r="L44" s="96">
        <f>297*0.00336</f>
        <v>0.99792</v>
      </c>
      <c r="M44" s="96">
        <v>0</v>
      </c>
      <c r="N44" s="96">
        <v>0</v>
      </c>
    </row>
    <row r="45" spans="1:14" ht="30.75" thickBot="1">
      <c r="A45" s="63" t="s">
        <v>1599</v>
      </c>
      <c r="B45" s="12" t="s">
        <v>746</v>
      </c>
      <c r="C45" s="13" t="s">
        <v>157</v>
      </c>
      <c r="D45" s="110" t="s">
        <v>716</v>
      </c>
      <c r="E45" s="112"/>
      <c r="F45" s="13" t="s">
        <v>745</v>
      </c>
      <c r="G45" s="13" t="s">
        <v>30</v>
      </c>
      <c r="H45" s="13" t="s">
        <v>30</v>
      </c>
      <c r="I45" s="13" t="s">
        <v>30</v>
      </c>
      <c r="J45" s="34" t="s">
        <v>1481</v>
      </c>
      <c r="K45" s="96">
        <v>0</v>
      </c>
      <c r="L45" s="96">
        <f>1188*0.00336</f>
        <v>3.99168</v>
      </c>
      <c r="M45" s="96">
        <v>0</v>
      </c>
      <c r="N45" s="96">
        <v>0</v>
      </c>
    </row>
    <row r="46" spans="1:14" ht="30.75" thickBot="1">
      <c r="A46" s="104" t="s">
        <v>1600</v>
      </c>
      <c r="B46" s="14" t="s">
        <v>747</v>
      </c>
      <c r="C46" s="100" t="s">
        <v>1086</v>
      </c>
      <c r="D46" s="10" t="s">
        <v>748</v>
      </c>
      <c r="E46" s="10" t="s">
        <v>749</v>
      </c>
      <c r="F46" s="10" t="s">
        <v>95</v>
      </c>
      <c r="G46" s="10" t="s">
        <v>1279</v>
      </c>
      <c r="H46" s="10" t="s">
        <v>1280</v>
      </c>
      <c r="I46" s="10" t="s">
        <v>96</v>
      </c>
      <c r="J46" s="114" t="s">
        <v>1483</v>
      </c>
      <c r="K46" s="113">
        <f>64*0.00336</f>
        <v>0.21504</v>
      </c>
      <c r="L46" s="113">
        <f>4356*0.00336</f>
        <v>14.63616</v>
      </c>
      <c r="M46" s="113">
        <v>0</v>
      </c>
      <c r="N46" s="113">
        <v>0</v>
      </c>
    </row>
    <row r="47" spans="1:14" ht="33" thickBot="1">
      <c r="A47" s="104"/>
      <c r="B47" s="15" t="s">
        <v>734</v>
      </c>
      <c r="C47" s="109"/>
      <c r="D47" s="16" t="s">
        <v>218</v>
      </c>
      <c r="E47" s="16" t="s">
        <v>92</v>
      </c>
      <c r="F47" s="16" t="s">
        <v>9</v>
      </c>
      <c r="G47" s="16" t="s">
        <v>1281</v>
      </c>
      <c r="H47" s="16" t="s">
        <v>1200</v>
      </c>
      <c r="I47" s="16" t="s">
        <v>709</v>
      </c>
      <c r="J47" s="116"/>
      <c r="K47" s="113"/>
      <c r="L47" s="113"/>
      <c r="M47" s="113"/>
      <c r="N47" s="113"/>
    </row>
    <row r="48" spans="1:14" ht="33" thickBot="1">
      <c r="A48" s="104"/>
      <c r="B48" s="17"/>
      <c r="C48" s="101"/>
      <c r="D48" s="11"/>
      <c r="E48" s="11"/>
      <c r="F48" s="11"/>
      <c r="G48" s="11" t="s">
        <v>1139</v>
      </c>
      <c r="H48" s="11" t="s">
        <v>1207</v>
      </c>
      <c r="I48" s="11" t="s">
        <v>710</v>
      </c>
      <c r="J48" s="115"/>
      <c r="K48" s="113"/>
      <c r="L48" s="113"/>
      <c r="M48" s="113"/>
      <c r="N48" s="113"/>
    </row>
  </sheetData>
  <sheetProtection/>
  <mergeCells count="115">
    <mergeCell ref="A1:B1"/>
    <mergeCell ref="A35:A37"/>
    <mergeCell ref="A38:A40"/>
    <mergeCell ref="A41:A43"/>
    <mergeCell ref="A46:A48"/>
    <mergeCell ref="A19:A20"/>
    <mergeCell ref="A21:A22"/>
    <mergeCell ref="A23:A24"/>
    <mergeCell ref="A25:A28"/>
    <mergeCell ref="A29:A30"/>
    <mergeCell ref="A31:A34"/>
    <mergeCell ref="A3:A6"/>
    <mergeCell ref="A7:A8"/>
    <mergeCell ref="A9:A11"/>
    <mergeCell ref="A12:A15"/>
    <mergeCell ref="A16:A18"/>
    <mergeCell ref="N7:N8"/>
    <mergeCell ref="N9:N11"/>
    <mergeCell ref="N12:N15"/>
    <mergeCell ref="N16:N18"/>
    <mergeCell ref="N19:N20"/>
    <mergeCell ref="B3:B6"/>
    <mergeCell ref="C3:C6"/>
    <mergeCell ref="D3:F3"/>
    <mergeCell ref="G3:I3"/>
    <mergeCell ref="F4:F6"/>
    <mergeCell ref="G4:H4"/>
    <mergeCell ref="I4:I6"/>
    <mergeCell ref="D5:E5"/>
    <mergeCell ref="D6:E6"/>
    <mergeCell ref="G5:G6"/>
    <mergeCell ref="C35:C37"/>
    <mergeCell ref="H5:H6"/>
    <mergeCell ref="C7:C8"/>
    <mergeCell ref="C9:C11"/>
    <mergeCell ref="C12:C15"/>
    <mergeCell ref="C16:C18"/>
    <mergeCell ref="C19:C20"/>
    <mergeCell ref="C41:C43"/>
    <mergeCell ref="D44:E44"/>
    <mergeCell ref="D45:E45"/>
    <mergeCell ref="C46:C48"/>
    <mergeCell ref="N21:N22"/>
    <mergeCell ref="N23:N24"/>
    <mergeCell ref="N25:N28"/>
    <mergeCell ref="N29:N30"/>
    <mergeCell ref="N31:N34"/>
    <mergeCell ref="C21:C22"/>
    <mergeCell ref="J3:J6"/>
    <mergeCell ref="J7:J8"/>
    <mergeCell ref="J9:J11"/>
    <mergeCell ref="J12:J15"/>
    <mergeCell ref="J16:J18"/>
    <mergeCell ref="C38:C40"/>
    <mergeCell ref="C23:C24"/>
    <mergeCell ref="C25:C28"/>
    <mergeCell ref="C29:C30"/>
    <mergeCell ref="C31:C34"/>
    <mergeCell ref="J46:J48"/>
    <mergeCell ref="J19:J20"/>
    <mergeCell ref="J21:J22"/>
    <mergeCell ref="J23:J24"/>
    <mergeCell ref="J25:J28"/>
    <mergeCell ref="J29:J30"/>
    <mergeCell ref="J31:J34"/>
    <mergeCell ref="M9:M11"/>
    <mergeCell ref="L9:L11"/>
    <mergeCell ref="K9:K11"/>
    <mergeCell ref="J35:J37"/>
    <mergeCell ref="J38:J40"/>
    <mergeCell ref="J41:J43"/>
    <mergeCell ref="K3:N5"/>
    <mergeCell ref="K12:K15"/>
    <mergeCell ref="L12:L15"/>
    <mergeCell ref="M12:M15"/>
    <mergeCell ref="M16:M18"/>
    <mergeCell ref="L16:L18"/>
    <mergeCell ref="K16:K18"/>
    <mergeCell ref="K7:K8"/>
    <mergeCell ref="L7:L8"/>
    <mergeCell ref="M7:M8"/>
    <mergeCell ref="K19:K20"/>
    <mergeCell ref="L19:L20"/>
    <mergeCell ref="M19:M20"/>
    <mergeCell ref="M21:M22"/>
    <mergeCell ref="L21:L22"/>
    <mergeCell ref="K21:K22"/>
    <mergeCell ref="K23:K24"/>
    <mergeCell ref="L23:L24"/>
    <mergeCell ref="M23:M24"/>
    <mergeCell ref="K25:K28"/>
    <mergeCell ref="L25:L28"/>
    <mergeCell ref="M25:M28"/>
    <mergeCell ref="L38:L40"/>
    <mergeCell ref="M38:M40"/>
    <mergeCell ref="M29:M30"/>
    <mergeCell ref="K29:K30"/>
    <mergeCell ref="L29:L30"/>
    <mergeCell ref="K31:K34"/>
    <mergeCell ref="L31:L34"/>
    <mergeCell ref="M31:M34"/>
    <mergeCell ref="M41:M43"/>
    <mergeCell ref="L41:L43"/>
    <mergeCell ref="K41:K43"/>
    <mergeCell ref="N35:N37"/>
    <mergeCell ref="N38:N40"/>
    <mergeCell ref="N41:N43"/>
    <mergeCell ref="M35:M37"/>
    <mergeCell ref="L35:L37"/>
    <mergeCell ref="K35:K37"/>
    <mergeCell ref="K38:K40"/>
    <mergeCell ref="M46:M48"/>
    <mergeCell ref="L46:L48"/>
    <mergeCell ref="K46:K48"/>
    <mergeCell ref="N46:N48"/>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4"/>
  </sheetPr>
  <dimension ref="A1:I11"/>
  <sheetViews>
    <sheetView tabSelected="1" zoomScalePageLayoutView="0" workbookViewId="0" topLeftCell="A1">
      <selection activeCell="G22" sqref="G22"/>
    </sheetView>
  </sheetViews>
  <sheetFormatPr defaultColWidth="8.8515625" defaultRowHeight="15"/>
  <cols>
    <col min="1" max="1" width="8.8515625" style="3" customWidth="1"/>
    <col min="2" max="2" width="37.00390625" style="3" customWidth="1"/>
    <col min="3" max="3" width="8.8515625" style="3" customWidth="1"/>
    <col min="4" max="4" width="9.57421875" style="3" bestFit="1" customWidth="1"/>
    <col min="5" max="5" width="8.8515625" style="3" customWidth="1"/>
    <col min="6" max="6" width="15.140625" style="3" customWidth="1"/>
    <col min="7" max="9" width="14.421875" style="3" customWidth="1"/>
    <col min="10" max="16384" width="8.8515625" style="3" customWidth="1"/>
  </cols>
  <sheetData>
    <row r="1" spans="1:2" ht="15">
      <c r="A1" s="103" t="s">
        <v>0</v>
      </c>
      <c r="B1" s="103"/>
    </row>
    <row r="2" ht="15.75" thickBot="1">
      <c r="B2" s="9"/>
    </row>
    <row r="3" spans="1:9" ht="30.75" thickBot="1">
      <c r="A3" s="104" t="s">
        <v>1583</v>
      </c>
      <c r="B3" s="100" t="s">
        <v>1</v>
      </c>
      <c r="C3" s="100" t="s">
        <v>2</v>
      </c>
      <c r="D3" s="10" t="s">
        <v>3</v>
      </c>
      <c r="E3" s="100" t="s">
        <v>5</v>
      </c>
      <c r="F3" s="100" t="s">
        <v>1334</v>
      </c>
      <c r="G3" s="102" t="s">
        <v>1575</v>
      </c>
      <c r="H3" s="102"/>
      <c r="I3" s="102"/>
    </row>
    <row r="4" spans="1:9" ht="15.75" thickBot="1">
      <c r="A4" s="104"/>
      <c r="B4" s="101"/>
      <c r="C4" s="101"/>
      <c r="D4" s="11" t="s">
        <v>4</v>
      </c>
      <c r="E4" s="101"/>
      <c r="F4" s="101"/>
      <c r="G4" s="39" t="s">
        <v>1572</v>
      </c>
      <c r="H4" s="39" t="s">
        <v>1573</v>
      </c>
      <c r="I4" s="39" t="s">
        <v>1574</v>
      </c>
    </row>
    <row r="5" spans="1:9" ht="30.75" thickBot="1">
      <c r="A5" s="63" t="s">
        <v>1584</v>
      </c>
      <c r="B5" s="12" t="s">
        <v>6</v>
      </c>
      <c r="C5" s="13" t="s">
        <v>7</v>
      </c>
      <c r="D5" s="13" t="s">
        <v>8</v>
      </c>
      <c r="E5" s="13" t="s">
        <v>9</v>
      </c>
      <c r="F5" s="13" t="s">
        <v>1335</v>
      </c>
      <c r="G5" s="94">
        <v>0</v>
      </c>
      <c r="H5" s="94">
        <f>4554*0.00336</f>
        <v>15.301440000000001</v>
      </c>
      <c r="I5" s="94">
        <f>720*0.00336</f>
        <v>2.4192</v>
      </c>
    </row>
    <row r="6" spans="1:9" ht="30.75" thickBot="1">
      <c r="A6" s="63" t="s">
        <v>1585</v>
      </c>
      <c r="B6" s="12" t="s">
        <v>10</v>
      </c>
      <c r="C6" s="13" t="s">
        <v>7</v>
      </c>
      <c r="D6" s="13" t="s">
        <v>11</v>
      </c>
      <c r="E6" s="13" t="s">
        <v>9</v>
      </c>
      <c r="F6" s="13" t="s">
        <v>1336</v>
      </c>
      <c r="G6" s="94">
        <v>0</v>
      </c>
      <c r="H6" s="94">
        <f>12540*0.00336</f>
        <v>42.1344</v>
      </c>
      <c r="I6" s="94">
        <f>1720*0.00336</f>
        <v>5.7792</v>
      </c>
    </row>
    <row r="7" spans="1:9" ht="30.75" thickBot="1">
      <c r="A7" s="63" t="s">
        <v>1586</v>
      </c>
      <c r="B7" s="12" t="s">
        <v>12</v>
      </c>
      <c r="C7" s="13" t="s">
        <v>7</v>
      </c>
      <c r="D7" s="13" t="s">
        <v>13</v>
      </c>
      <c r="E7" s="13" t="s">
        <v>9</v>
      </c>
      <c r="F7" s="13" t="s">
        <v>1337</v>
      </c>
      <c r="G7" s="94">
        <v>0</v>
      </c>
      <c r="H7" s="94">
        <f>77550*0.00336</f>
        <v>260.568</v>
      </c>
      <c r="I7" s="94">
        <f>5396*0.00336</f>
        <v>18.13056</v>
      </c>
    </row>
    <row r="8" spans="1:9" ht="30.75" thickBot="1">
      <c r="A8" s="63" t="s">
        <v>1587</v>
      </c>
      <c r="B8" s="12" t="s">
        <v>14</v>
      </c>
      <c r="C8" s="13" t="s">
        <v>7</v>
      </c>
      <c r="D8" s="26">
        <v>1.8</v>
      </c>
      <c r="E8" s="13" t="s">
        <v>9</v>
      </c>
      <c r="F8" s="13" t="s">
        <v>1338</v>
      </c>
      <c r="G8" s="94">
        <v>0</v>
      </c>
      <c r="H8" s="94">
        <f>25641*0.00336</f>
        <v>86.15376</v>
      </c>
      <c r="I8" s="94">
        <f>5448*0.00336</f>
        <v>18.30528</v>
      </c>
    </row>
    <row r="9" spans="1:9" ht="30.75" thickBot="1">
      <c r="A9" s="63" t="s">
        <v>1589</v>
      </c>
      <c r="B9" s="12" t="s">
        <v>15</v>
      </c>
      <c r="C9" s="13" t="s">
        <v>1087</v>
      </c>
      <c r="D9" s="26">
        <v>1.15</v>
      </c>
      <c r="E9" s="13" t="s">
        <v>9</v>
      </c>
      <c r="F9" s="13" t="s">
        <v>1339</v>
      </c>
      <c r="G9" s="94">
        <v>0</v>
      </c>
      <c r="H9" s="94">
        <f>10428*0.00336</f>
        <v>35.03808</v>
      </c>
      <c r="I9" s="94">
        <v>0</v>
      </c>
    </row>
    <row r="10" spans="1:9" ht="18" thickBot="1">
      <c r="A10" s="63" t="s">
        <v>1590</v>
      </c>
      <c r="B10" s="12" t="s">
        <v>16</v>
      </c>
      <c r="C10" s="13" t="s">
        <v>1087</v>
      </c>
      <c r="D10" s="13" t="s">
        <v>17</v>
      </c>
      <c r="E10" s="13" t="s">
        <v>9</v>
      </c>
      <c r="F10" s="13" t="s">
        <v>1340</v>
      </c>
      <c r="G10" s="94">
        <v>0</v>
      </c>
      <c r="H10" s="94">
        <f>3960*0.00336</f>
        <v>13.3056</v>
      </c>
      <c r="I10" s="94">
        <v>0</v>
      </c>
    </row>
    <row r="11" spans="1:9" ht="18" thickBot="1">
      <c r="A11" s="63" t="s">
        <v>1591</v>
      </c>
      <c r="B11" s="12" t="s">
        <v>18</v>
      </c>
      <c r="C11" s="13" t="s">
        <v>1087</v>
      </c>
      <c r="D11" s="13" t="s">
        <v>19</v>
      </c>
      <c r="E11" s="13" t="s">
        <v>9</v>
      </c>
      <c r="F11" s="13" t="s">
        <v>1341</v>
      </c>
      <c r="G11" s="94">
        <v>0</v>
      </c>
      <c r="H11" s="94">
        <f>660*0.00336</f>
        <v>2.2176</v>
      </c>
      <c r="I11" s="94">
        <f>1235*0.00336</f>
        <v>4.1496</v>
      </c>
    </row>
  </sheetData>
  <sheetProtection/>
  <mergeCells count="7">
    <mergeCell ref="B3:B4"/>
    <mergeCell ref="C3:C4"/>
    <mergeCell ref="E3:E4"/>
    <mergeCell ref="F3:F4"/>
    <mergeCell ref="G3:I3"/>
    <mergeCell ref="A1:B1"/>
    <mergeCell ref="A3:A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4"/>
  </sheetPr>
  <dimension ref="A1:M42"/>
  <sheetViews>
    <sheetView zoomScalePageLayoutView="0" workbookViewId="0" topLeftCell="A1">
      <selection activeCell="A1" sqref="A1:B1"/>
    </sheetView>
  </sheetViews>
  <sheetFormatPr defaultColWidth="8.8515625" defaultRowHeight="15"/>
  <cols>
    <col min="1" max="1" width="8.8515625" style="3" customWidth="1"/>
    <col min="2" max="2" width="30.00390625" style="3" customWidth="1"/>
    <col min="3" max="5" width="8.8515625" style="3" customWidth="1"/>
    <col min="6" max="6" width="9.7109375" style="3" customWidth="1"/>
    <col min="7" max="7" width="11.140625" style="3" customWidth="1"/>
    <col min="8" max="8" width="10.7109375" style="3" customWidth="1"/>
    <col min="9" max="9" width="8.8515625" style="3" customWidth="1"/>
    <col min="10" max="10" width="11.28125" style="3" bestFit="1" customWidth="1"/>
    <col min="11" max="13" width="15.00390625" style="3" customWidth="1"/>
    <col min="14" max="16384" width="8.8515625" style="3" customWidth="1"/>
  </cols>
  <sheetData>
    <row r="1" spans="1:2" ht="15">
      <c r="A1" s="217" t="s">
        <v>780</v>
      </c>
      <c r="B1" s="217"/>
    </row>
    <row r="2" ht="15.75" thickBot="1">
      <c r="B2" s="9"/>
    </row>
    <row r="3" spans="1:13" ht="15.75" thickBot="1">
      <c r="A3" s="104" t="s">
        <v>1583</v>
      </c>
      <c r="B3" s="100" t="s">
        <v>1</v>
      </c>
      <c r="C3" s="100" t="s">
        <v>2</v>
      </c>
      <c r="D3" s="110" t="s">
        <v>144</v>
      </c>
      <c r="E3" s="111"/>
      <c r="F3" s="112"/>
      <c r="G3" s="110" t="s">
        <v>79</v>
      </c>
      <c r="H3" s="111"/>
      <c r="I3" s="112"/>
      <c r="J3" s="195" t="s">
        <v>1334</v>
      </c>
      <c r="K3" s="102" t="s">
        <v>1576</v>
      </c>
      <c r="L3" s="102"/>
      <c r="M3" s="102"/>
    </row>
    <row r="4" spans="1:13" ht="30.75" thickBot="1">
      <c r="A4" s="104"/>
      <c r="B4" s="109"/>
      <c r="C4" s="109"/>
      <c r="D4" s="13" t="s">
        <v>697</v>
      </c>
      <c r="E4" s="13" t="s">
        <v>698</v>
      </c>
      <c r="F4" s="100" t="s">
        <v>5</v>
      </c>
      <c r="G4" s="110" t="s">
        <v>146</v>
      </c>
      <c r="H4" s="112"/>
      <c r="I4" s="100" t="s">
        <v>84</v>
      </c>
      <c r="J4" s="195"/>
      <c r="K4" s="102"/>
      <c r="L4" s="102"/>
      <c r="M4" s="102"/>
    </row>
    <row r="5" spans="1:13" ht="15.75" thickBot="1">
      <c r="A5" s="104"/>
      <c r="B5" s="109"/>
      <c r="C5" s="109"/>
      <c r="D5" s="119" t="s">
        <v>751</v>
      </c>
      <c r="E5" s="177"/>
      <c r="F5" s="109"/>
      <c r="G5" s="100" t="s">
        <v>85</v>
      </c>
      <c r="H5" s="100" t="s">
        <v>86</v>
      </c>
      <c r="I5" s="109"/>
      <c r="J5" s="195"/>
      <c r="K5" s="102"/>
      <c r="L5" s="102"/>
      <c r="M5" s="102"/>
    </row>
    <row r="6" spans="1:13" ht="15.75" thickBot="1">
      <c r="A6" s="104"/>
      <c r="B6" s="101"/>
      <c r="C6" s="101"/>
      <c r="D6" s="179" t="s">
        <v>4</v>
      </c>
      <c r="E6" s="180"/>
      <c r="F6" s="101"/>
      <c r="G6" s="101"/>
      <c r="H6" s="101"/>
      <c r="I6" s="101"/>
      <c r="J6" s="195"/>
      <c r="K6" s="40" t="s">
        <v>1577</v>
      </c>
      <c r="L6" s="40" t="s">
        <v>1578</v>
      </c>
      <c r="M6" s="40" t="s">
        <v>1579</v>
      </c>
    </row>
    <row r="7" spans="1:13" ht="18" thickBot="1">
      <c r="A7" s="104" t="s">
        <v>1584</v>
      </c>
      <c r="B7" s="14" t="s">
        <v>781</v>
      </c>
      <c r="C7" s="100" t="s">
        <v>1085</v>
      </c>
      <c r="D7" s="10" t="s">
        <v>763</v>
      </c>
      <c r="E7" s="10" t="s">
        <v>116</v>
      </c>
      <c r="F7" s="10" t="s">
        <v>745</v>
      </c>
      <c r="G7" s="10" t="s">
        <v>1100</v>
      </c>
      <c r="H7" s="10" t="s">
        <v>1182</v>
      </c>
      <c r="I7" s="10" t="s">
        <v>714</v>
      </c>
      <c r="J7" s="114" t="s">
        <v>1502</v>
      </c>
      <c r="K7" s="144">
        <f>149*0.00336</f>
        <v>0.50064</v>
      </c>
      <c r="L7" s="144">
        <f>1881*0.00336</f>
        <v>6.3201600000000004</v>
      </c>
      <c r="M7" s="144">
        <v>0</v>
      </c>
    </row>
    <row r="8" spans="1:13" ht="33" thickBot="1">
      <c r="A8" s="104"/>
      <c r="B8" s="15" t="s">
        <v>1183</v>
      </c>
      <c r="C8" s="109"/>
      <c r="D8" s="16" t="s">
        <v>106</v>
      </c>
      <c r="E8" s="16" t="s">
        <v>101</v>
      </c>
      <c r="F8" s="16" t="s">
        <v>9</v>
      </c>
      <c r="G8" s="16" t="s">
        <v>1184</v>
      </c>
      <c r="H8" s="16" t="s">
        <v>1185</v>
      </c>
      <c r="I8" s="16" t="s">
        <v>709</v>
      </c>
      <c r="J8" s="116"/>
      <c r="K8" s="145"/>
      <c r="L8" s="145"/>
      <c r="M8" s="145"/>
    </row>
    <row r="9" spans="1:13" ht="18" thickBot="1">
      <c r="A9" s="104"/>
      <c r="B9" s="17" t="s">
        <v>782</v>
      </c>
      <c r="C9" s="101"/>
      <c r="D9" s="11"/>
      <c r="E9" s="11"/>
      <c r="F9" s="11"/>
      <c r="G9" s="11" t="s">
        <v>1186</v>
      </c>
      <c r="H9" s="11" t="s">
        <v>1187</v>
      </c>
      <c r="I9" s="11" t="s">
        <v>142</v>
      </c>
      <c r="J9" s="115"/>
      <c r="K9" s="146"/>
      <c r="L9" s="146"/>
      <c r="M9" s="146"/>
    </row>
    <row r="10" spans="1:13" ht="18" thickBot="1">
      <c r="A10" s="104" t="s">
        <v>1585</v>
      </c>
      <c r="B10" s="14" t="s">
        <v>783</v>
      </c>
      <c r="C10" s="100" t="s">
        <v>1086</v>
      </c>
      <c r="D10" s="10" t="s">
        <v>785</v>
      </c>
      <c r="E10" s="10" t="s">
        <v>441</v>
      </c>
      <c r="F10" s="10" t="s">
        <v>745</v>
      </c>
      <c r="G10" s="10" t="s">
        <v>1188</v>
      </c>
      <c r="H10" s="10" t="s">
        <v>1189</v>
      </c>
      <c r="I10" s="10" t="s">
        <v>714</v>
      </c>
      <c r="J10" s="114" t="s">
        <v>1503</v>
      </c>
      <c r="K10" s="144">
        <f>608*0.00336</f>
        <v>2.0428800000000003</v>
      </c>
      <c r="L10" s="144">
        <f>3333*0.00336</f>
        <v>11.19888</v>
      </c>
      <c r="M10" s="144">
        <v>0</v>
      </c>
    </row>
    <row r="11" spans="1:13" ht="18" thickBot="1">
      <c r="A11" s="104"/>
      <c r="B11" s="15" t="s">
        <v>784</v>
      </c>
      <c r="C11" s="109"/>
      <c r="D11" s="16" t="s">
        <v>248</v>
      </c>
      <c r="E11" s="16" t="s">
        <v>786</v>
      </c>
      <c r="F11" s="16" t="s">
        <v>9</v>
      </c>
      <c r="G11" s="16" t="s">
        <v>1190</v>
      </c>
      <c r="H11" s="16" t="s">
        <v>1191</v>
      </c>
      <c r="I11" s="16" t="s">
        <v>709</v>
      </c>
      <c r="J11" s="116"/>
      <c r="K11" s="145"/>
      <c r="L11" s="145"/>
      <c r="M11" s="145"/>
    </row>
    <row r="12" spans="1:13" ht="18" thickBot="1">
      <c r="A12" s="104"/>
      <c r="B12" s="17"/>
      <c r="C12" s="101"/>
      <c r="D12" s="11"/>
      <c r="E12" s="11"/>
      <c r="F12" s="11"/>
      <c r="G12" s="11" t="s">
        <v>1192</v>
      </c>
      <c r="H12" s="11" t="s">
        <v>1193</v>
      </c>
      <c r="I12" s="11" t="s">
        <v>743</v>
      </c>
      <c r="J12" s="115"/>
      <c r="K12" s="146"/>
      <c r="L12" s="146"/>
      <c r="M12" s="146"/>
    </row>
    <row r="13" spans="1:13" ht="18" thickBot="1">
      <c r="A13" s="104" t="s">
        <v>1586</v>
      </c>
      <c r="B13" s="14" t="s">
        <v>787</v>
      </c>
      <c r="C13" s="100" t="s">
        <v>1086</v>
      </c>
      <c r="D13" s="10" t="s">
        <v>789</v>
      </c>
      <c r="E13" s="10" t="s">
        <v>790</v>
      </c>
      <c r="F13" s="10" t="s">
        <v>745</v>
      </c>
      <c r="G13" s="10" t="s">
        <v>1100</v>
      </c>
      <c r="H13" s="10" t="s">
        <v>1194</v>
      </c>
      <c r="I13" s="10" t="s">
        <v>709</v>
      </c>
      <c r="J13" s="114" t="s">
        <v>1504</v>
      </c>
      <c r="K13" s="144">
        <f>9864*0.00336*0.00336</f>
        <v>0.1113606144</v>
      </c>
      <c r="L13" s="144">
        <f>6600*0.00336</f>
        <v>22.176000000000002</v>
      </c>
      <c r="M13" s="144">
        <v>0</v>
      </c>
    </row>
    <row r="14" spans="1:13" ht="30.75" thickBot="1">
      <c r="A14" s="104"/>
      <c r="B14" s="17" t="s">
        <v>788</v>
      </c>
      <c r="C14" s="101"/>
      <c r="D14" s="11" t="s">
        <v>122</v>
      </c>
      <c r="E14" s="11" t="s">
        <v>106</v>
      </c>
      <c r="F14" s="11" t="s">
        <v>9</v>
      </c>
      <c r="G14" s="11" t="s">
        <v>791</v>
      </c>
      <c r="H14" s="11" t="s">
        <v>1195</v>
      </c>
      <c r="I14" s="11" t="s">
        <v>792</v>
      </c>
      <c r="J14" s="115"/>
      <c r="K14" s="146"/>
      <c r="L14" s="146"/>
      <c r="M14" s="146"/>
    </row>
    <row r="15" spans="1:13" ht="18" thickBot="1">
      <c r="A15" s="104" t="s">
        <v>1587</v>
      </c>
      <c r="B15" s="14" t="s">
        <v>787</v>
      </c>
      <c r="C15" s="100" t="s">
        <v>1086</v>
      </c>
      <c r="D15" s="10" t="s">
        <v>794</v>
      </c>
      <c r="E15" s="10" t="s">
        <v>795</v>
      </c>
      <c r="F15" s="10" t="s">
        <v>745</v>
      </c>
      <c r="G15" s="10" t="s">
        <v>1196</v>
      </c>
      <c r="H15" s="10" t="s">
        <v>1197</v>
      </c>
      <c r="I15" s="10" t="s">
        <v>1198</v>
      </c>
      <c r="J15" s="114" t="s">
        <v>1505</v>
      </c>
      <c r="K15" s="144">
        <f>10093*0.00336</f>
        <v>33.91248</v>
      </c>
      <c r="L15" s="144">
        <f>7590*0.00336</f>
        <v>25.5024</v>
      </c>
      <c r="M15" s="144">
        <v>0</v>
      </c>
    </row>
    <row r="16" spans="1:13" ht="30.75" thickBot="1">
      <c r="A16" s="104"/>
      <c r="B16" s="17" t="s">
        <v>793</v>
      </c>
      <c r="C16" s="101"/>
      <c r="D16" s="11" t="s">
        <v>119</v>
      </c>
      <c r="E16" s="11" t="s">
        <v>130</v>
      </c>
      <c r="F16" s="11" t="s">
        <v>9</v>
      </c>
      <c r="G16" s="11" t="s">
        <v>796</v>
      </c>
      <c r="H16" s="11" t="s">
        <v>797</v>
      </c>
      <c r="I16" s="11" t="s">
        <v>792</v>
      </c>
      <c r="J16" s="115"/>
      <c r="K16" s="146"/>
      <c r="L16" s="146"/>
      <c r="M16" s="146"/>
    </row>
    <row r="17" spans="1:13" ht="18" thickBot="1">
      <c r="A17" s="104" t="s">
        <v>1589</v>
      </c>
      <c r="B17" s="14" t="s">
        <v>798</v>
      </c>
      <c r="C17" s="100" t="s">
        <v>1086</v>
      </c>
      <c r="D17" s="10" t="s">
        <v>107</v>
      </c>
      <c r="E17" s="10" t="s">
        <v>90</v>
      </c>
      <c r="F17" s="10" t="s">
        <v>745</v>
      </c>
      <c r="G17" s="10" t="s">
        <v>1199</v>
      </c>
      <c r="H17" s="10" t="s">
        <v>1200</v>
      </c>
      <c r="I17" s="10" t="s">
        <v>109</v>
      </c>
      <c r="J17" s="114" t="s">
        <v>1506</v>
      </c>
      <c r="K17" s="144">
        <f>88*0.00336</f>
        <v>0.29568</v>
      </c>
      <c r="L17" s="144">
        <f>2178*0.00336</f>
        <v>7.31808</v>
      </c>
      <c r="M17" s="144">
        <v>0</v>
      </c>
    </row>
    <row r="18" spans="1:13" ht="30.75" thickBot="1">
      <c r="A18" s="104"/>
      <c r="B18" s="15" t="s">
        <v>799</v>
      </c>
      <c r="C18" s="109"/>
      <c r="D18" s="16" t="s">
        <v>149</v>
      </c>
      <c r="E18" s="16" t="s">
        <v>106</v>
      </c>
      <c r="F18" s="16" t="s">
        <v>9</v>
      </c>
      <c r="G18" s="16" t="s">
        <v>801</v>
      </c>
      <c r="H18" s="16" t="s">
        <v>802</v>
      </c>
      <c r="I18" s="16" t="s">
        <v>803</v>
      </c>
      <c r="J18" s="116"/>
      <c r="K18" s="145"/>
      <c r="L18" s="145"/>
      <c r="M18" s="145"/>
    </row>
    <row r="19" spans="1:13" ht="18" thickBot="1">
      <c r="A19" s="104"/>
      <c r="B19" s="17" t="s">
        <v>800</v>
      </c>
      <c r="C19" s="101"/>
      <c r="D19" s="11"/>
      <c r="E19" s="11"/>
      <c r="F19" s="11"/>
      <c r="G19" s="11" t="s">
        <v>1201</v>
      </c>
      <c r="H19" s="11" t="s">
        <v>1125</v>
      </c>
      <c r="I19" s="11" t="s">
        <v>728</v>
      </c>
      <c r="J19" s="115"/>
      <c r="K19" s="146"/>
      <c r="L19" s="146"/>
      <c r="M19" s="146"/>
    </row>
    <row r="20" spans="1:13" ht="30.75" thickBot="1">
      <c r="A20" s="104" t="s">
        <v>1590</v>
      </c>
      <c r="B20" s="14" t="s">
        <v>804</v>
      </c>
      <c r="C20" s="100" t="s">
        <v>1086</v>
      </c>
      <c r="D20" s="10" t="s">
        <v>720</v>
      </c>
      <c r="E20" s="10" t="s">
        <v>576</v>
      </c>
      <c r="F20" s="10" t="s">
        <v>745</v>
      </c>
      <c r="G20" s="10" t="s">
        <v>1202</v>
      </c>
      <c r="H20" s="10" t="s">
        <v>1203</v>
      </c>
      <c r="I20" s="10" t="s">
        <v>807</v>
      </c>
      <c r="J20" s="114" t="s">
        <v>1507</v>
      </c>
      <c r="K20" s="144">
        <f>230*0.00336</f>
        <v>0.7728</v>
      </c>
      <c r="L20" s="144">
        <f>1386*0.00336</f>
        <v>4.65696</v>
      </c>
      <c r="M20" s="144">
        <v>0</v>
      </c>
    </row>
    <row r="21" spans="1:13" ht="18" thickBot="1">
      <c r="A21" s="104"/>
      <c r="B21" s="15" t="s">
        <v>805</v>
      </c>
      <c r="C21" s="109"/>
      <c r="D21" s="16" t="s">
        <v>101</v>
      </c>
      <c r="E21" s="16" t="s">
        <v>703</v>
      </c>
      <c r="F21" s="16" t="s">
        <v>9</v>
      </c>
      <c r="G21" s="16" t="s">
        <v>1204</v>
      </c>
      <c r="H21" s="16" t="s">
        <v>1205</v>
      </c>
      <c r="I21" s="16" t="s">
        <v>709</v>
      </c>
      <c r="J21" s="116"/>
      <c r="K21" s="145"/>
      <c r="L21" s="145"/>
      <c r="M21" s="145"/>
    </row>
    <row r="22" spans="1:13" ht="33" thickBot="1">
      <c r="A22" s="104"/>
      <c r="B22" s="17" t="s">
        <v>806</v>
      </c>
      <c r="C22" s="101"/>
      <c r="D22" s="11"/>
      <c r="E22" s="11"/>
      <c r="F22" s="11"/>
      <c r="G22" s="11" t="s">
        <v>1206</v>
      </c>
      <c r="H22" s="11" t="s">
        <v>1207</v>
      </c>
      <c r="I22" s="11" t="s">
        <v>743</v>
      </c>
      <c r="J22" s="115"/>
      <c r="K22" s="146"/>
      <c r="L22" s="146"/>
      <c r="M22" s="146"/>
    </row>
    <row r="23" spans="1:13" ht="30.75" thickBot="1">
      <c r="A23" s="104" t="s">
        <v>1591</v>
      </c>
      <c r="B23" s="14" t="s">
        <v>804</v>
      </c>
      <c r="C23" s="100" t="s">
        <v>1086</v>
      </c>
      <c r="D23" s="10" t="s">
        <v>228</v>
      </c>
      <c r="E23" s="10" t="s">
        <v>128</v>
      </c>
      <c r="F23" s="10" t="s">
        <v>745</v>
      </c>
      <c r="G23" s="10" t="s">
        <v>1208</v>
      </c>
      <c r="H23" s="10" t="s">
        <v>1209</v>
      </c>
      <c r="I23" s="10" t="s">
        <v>807</v>
      </c>
      <c r="J23" s="114" t="s">
        <v>1508</v>
      </c>
      <c r="K23" s="144">
        <f>218*0.00336</f>
        <v>0.73248</v>
      </c>
      <c r="L23" s="144">
        <f>1518*0.00336</f>
        <v>5.10048</v>
      </c>
      <c r="M23" s="144">
        <v>0</v>
      </c>
    </row>
    <row r="24" spans="1:13" ht="18" thickBot="1">
      <c r="A24" s="104"/>
      <c r="B24" s="15" t="s">
        <v>805</v>
      </c>
      <c r="C24" s="109"/>
      <c r="D24" s="16" t="s">
        <v>101</v>
      </c>
      <c r="E24" s="16" t="s">
        <v>703</v>
      </c>
      <c r="F24" s="16" t="s">
        <v>9</v>
      </c>
      <c r="G24" s="16" t="s">
        <v>1204</v>
      </c>
      <c r="H24" s="16" t="s">
        <v>1123</v>
      </c>
      <c r="I24" s="16" t="s">
        <v>709</v>
      </c>
      <c r="J24" s="116"/>
      <c r="K24" s="145"/>
      <c r="L24" s="145"/>
      <c r="M24" s="145"/>
    </row>
    <row r="25" spans="1:13" ht="18" thickBot="1">
      <c r="A25" s="104"/>
      <c r="B25" s="17" t="s">
        <v>808</v>
      </c>
      <c r="C25" s="101"/>
      <c r="D25" s="11"/>
      <c r="E25" s="11"/>
      <c r="F25" s="11"/>
      <c r="G25" s="11" t="s">
        <v>1210</v>
      </c>
      <c r="H25" s="11" t="s">
        <v>1211</v>
      </c>
      <c r="I25" s="11" t="s">
        <v>743</v>
      </c>
      <c r="J25" s="115"/>
      <c r="K25" s="146"/>
      <c r="L25" s="146"/>
      <c r="M25" s="146"/>
    </row>
    <row r="26" spans="1:13" ht="18" thickBot="1">
      <c r="A26" s="104" t="s">
        <v>1592</v>
      </c>
      <c r="B26" s="132" t="s">
        <v>809</v>
      </c>
      <c r="C26" s="100" t="s">
        <v>1086</v>
      </c>
      <c r="D26" s="10" t="s">
        <v>810</v>
      </c>
      <c r="E26" s="10" t="s">
        <v>811</v>
      </c>
      <c r="F26" s="10" t="s">
        <v>745</v>
      </c>
      <c r="G26" s="10" t="s">
        <v>1212</v>
      </c>
      <c r="H26" s="10" t="s">
        <v>1103</v>
      </c>
      <c r="I26" s="10" t="s">
        <v>714</v>
      </c>
      <c r="J26" s="114" t="s">
        <v>1509</v>
      </c>
      <c r="K26" s="144">
        <f>635*0.00336</f>
        <v>2.1336</v>
      </c>
      <c r="L26" s="144">
        <f>363*0.00336</f>
        <v>1.21968</v>
      </c>
      <c r="M26" s="144">
        <v>0</v>
      </c>
    </row>
    <row r="27" spans="1:13" ht="18" thickBot="1">
      <c r="A27" s="104"/>
      <c r="B27" s="151"/>
      <c r="C27" s="109"/>
      <c r="D27" s="16" t="s">
        <v>376</v>
      </c>
      <c r="E27" s="16" t="s">
        <v>94</v>
      </c>
      <c r="F27" s="16" t="s">
        <v>9</v>
      </c>
      <c r="G27" s="16" t="s">
        <v>1213</v>
      </c>
      <c r="H27" s="16" t="s">
        <v>1123</v>
      </c>
      <c r="I27" s="16" t="s">
        <v>709</v>
      </c>
      <c r="J27" s="116"/>
      <c r="K27" s="145"/>
      <c r="L27" s="145"/>
      <c r="M27" s="145"/>
    </row>
    <row r="28" spans="1:13" ht="18" thickBot="1">
      <c r="A28" s="104"/>
      <c r="B28" s="133"/>
      <c r="C28" s="101"/>
      <c r="D28" s="11"/>
      <c r="E28" s="11"/>
      <c r="F28" s="11"/>
      <c r="G28" s="11" t="s">
        <v>1214</v>
      </c>
      <c r="H28" s="11" t="s">
        <v>1215</v>
      </c>
      <c r="I28" s="11" t="s">
        <v>743</v>
      </c>
      <c r="J28" s="115"/>
      <c r="K28" s="146"/>
      <c r="L28" s="146"/>
      <c r="M28" s="146"/>
    </row>
    <row r="29" spans="1:13" ht="24" customHeight="1" thickBot="1">
      <c r="A29" s="104" t="s">
        <v>1593</v>
      </c>
      <c r="B29" s="132" t="s">
        <v>812</v>
      </c>
      <c r="C29" s="100" t="s">
        <v>148</v>
      </c>
      <c r="D29" s="10" t="s">
        <v>813</v>
      </c>
      <c r="E29" s="10" t="s">
        <v>121</v>
      </c>
      <c r="F29" s="10" t="s">
        <v>745</v>
      </c>
      <c r="G29" s="10" t="s">
        <v>1216</v>
      </c>
      <c r="H29" s="10" t="s">
        <v>1123</v>
      </c>
      <c r="I29" s="10" t="s">
        <v>714</v>
      </c>
      <c r="J29" s="114" t="s">
        <v>1510</v>
      </c>
      <c r="K29" s="144">
        <f>22*0.00336</f>
        <v>0.07392</v>
      </c>
      <c r="L29" s="144">
        <f>396*0.00336</f>
        <v>1.33056</v>
      </c>
      <c r="M29" s="144">
        <v>0</v>
      </c>
    </row>
    <row r="30" spans="1:13" ht="18" thickBot="1">
      <c r="A30" s="104"/>
      <c r="B30" s="133"/>
      <c r="C30" s="101"/>
      <c r="D30" s="11" t="s">
        <v>130</v>
      </c>
      <c r="E30" s="11" t="s">
        <v>166</v>
      </c>
      <c r="F30" s="11" t="s">
        <v>9</v>
      </c>
      <c r="G30" s="11" t="s">
        <v>1217</v>
      </c>
      <c r="H30" s="11" t="s">
        <v>1218</v>
      </c>
      <c r="I30" s="11" t="s">
        <v>743</v>
      </c>
      <c r="J30" s="115"/>
      <c r="K30" s="146"/>
      <c r="L30" s="146"/>
      <c r="M30" s="146"/>
    </row>
    <row r="31" spans="1:13" ht="18" thickBot="1">
      <c r="A31" s="104" t="s">
        <v>1594</v>
      </c>
      <c r="B31" s="14" t="s">
        <v>815</v>
      </c>
      <c r="C31" s="100" t="s">
        <v>148</v>
      </c>
      <c r="D31" s="10" t="s">
        <v>817</v>
      </c>
      <c r="E31" s="10" t="s">
        <v>794</v>
      </c>
      <c r="F31" s="10" t="s">
        <v>745</v>
      </c>
      <c r="G31" s="10" t="s">
        <v>1221</v>
      </c>
      <c r="H31" s="10" t="s">
        <v>1124</v>
      </c>
      <c r="I31" s="10" t="s">
        <v>714</v>
      </c>
      <c r="J31" s="114" t="s">
        <v>1511</v>
      </c>
      <c r="K31" s="144">
        <f>979*0.00336</f>
        <v>3.28944</v>
      </c>
      <c r="L31" s="144">
        <f>8910*0.00336</f>
        <v>29.9376</v>
      </c>
      <c r="M31" s="144">
        <v>0</v>
      </c>
    </row>
    <row r="32" spans="1:13" ht="30.75" thickBot="1">
      <c r="A32" s="104"/>
      <c r="B32" s="15" t="s">
        <v>816</v>
      </c>
      <c r="C32" s="109"/>
      <c r="D32" s="16" t="s">
        <v>818</v>
      </c>
      <c r="E32" s="16" t="s">
        <v>395</v>
      </c>
      <c r="F32" s="16" t="s">
        <v>9</v>
      </c>
      <c r="G32" s="16" t="s">
        <v>1222</v>
      </c>
      <c r="H32" s="16" t="s">
        <v>1223</v>
      </c>
      <c r="I32" s="16" t="s">
        <v>709</v>
      </c>
      <c r="J32" s="116"/>
      <c r="K32" s="145"/>
      <c r="L32" s="145"/>
      <c r="M32" s="145"/>
    </row>
    <row r="33" spans="1:13" ht="18" thickBot="1">
      <c r="A33" s="104"/>
      <c r="B33" s="15" t="s">
        <v>1224</v>
      </c>
      <c r="C33" s="109"/>
      <c r="D33" s="16"/>
      <c r="E33" s="16"/>
      <c r="F33" s="16"/>
      <c r="G33" s="16" t="s">
        <v>1225</v>
      </c>
      <c r="H33" s="16" t="s">
        <v>1193</v>
      </c>
      <c r="I33" s="16" t="s">
        <v>743</v>
      </c>
      <c r="J33" s="116"/>
      <c r="K33" s="145"/>
      <c r="L33" s="145"/>
      <c r="M33" s="145"/>
    </row>
    <row r="34" spans="1:13" ht="15.75" thickBot="1">
      <c r="A34" s="104"/>
      <c r="B34" s="17" t="s">
        <v>782</v>
      </c>
      <c r="C34" s="101"/>
      <c r="D34" s="11"/>
      <c r="E34" s="11"/>
      <c r="F34" s="11"/>
      <c r="G34" s="11"/>
      <c r="H34" s="11"/>
      <c r="I34" s="11"/>
      <c r="J34" s="115"/>
      <c r="K34" s="146"/>
      <c r="L34" s="146"/>
      <c r="M34" s="146"/>
    </row>
    <row r="35" spans="1:13" ht="18" thickBot="1">
      <c r="A35" s="104" t="s">
        <v>1595</v>
      </c>
      <c r="B35" s="14" t="s">
        <v>815</v>
      </c>
      <c r="C35" s="100" t="s">
        <v>1085</v>
      </c>
      <c r="D35" s="10" t="s">
        <v>105</v>
      </c>
      <c r="E35" s="10" t="s">
        <v>764</v>
      </c>
      <c r="F35" s="10" t="s">
        <v>745</v>
      </c>
      <c r="G35" s="10" t="s">
        <v>1114</v>
      </c>
      <c r="H35" s="10" t="s">
        <v>1101</v>
      </c>
      <c r="I35" s="10" t="s">
        <v>714</v>
      </c>
      <c r="J35" s="114" t="s">
        <v>1512</v>
      </c>
      <c r="K35" s="144">
        <f>1147*0.00336</f>
        <v>3.85392</v>
      </c>
      <c r="L35" s="144">
        <f>11220*0.00336</f>
        <v>37.699200000000005</v>
      </c>
      <c r="M35" s="144">
        <v>0</v>
      </c>
    </row>
    <row r="36" spans="1:13" ht="18" thickBot="1">
      <c r="A36" s="104"/>
      <c r="B36" s="15" t="s">
        <v>819</v>
      </c>
      <c r="C36" s="109"/>
      <c r="D36" s="16" t="s">
        <v>92</v>
      </c>
      <c r="E36" s="16" t="s">
        <v>716</v>
      </c>
      <c r="F36" s="16" t="s">
        <v>9</v>
      </c>
      <c r="G36" s="16" t="s">
        <v>1226</v>
      </c>
      <c r="H36" s="16" t="s">
        <v>1226</v>
      </c>
      <c r="I36" s="16" t="s">
        <v>709</v>
      </c>
      <c r="J36" s="116"/>
      <c r="K36" s="145"/>
      <c r="L36" s="145"/>
      <c r="M36" s="145"/>
    </row>
    <row r="37" spans="1:13" ht="18" thickBot="1">
      <c r="A37" s="104"/>
      <c r="B37" s="15" t="s">
        <v>820</v>
      </c>
      <c r="C37" s="109"/>
      <c r="D37" s="16"/>
      <c r="E37" s="16"/>
      <c r="F37" s="16"/>
      <c r="G37" s="16" t="s">
        <v>1220</v>
      </c>
      <c r="H37" s="16" t="s">
        <v>1211</v>
      </c>
      <c r="I37" s="16" t="s">
        <v>142</v>
      </c>
      <c r="J37" s="116"/>
      <c r="K37" s="145"/>
      <c r="L37" s="145"/>
      <c r="M37" s="145"/>
    </row>
    <row r="38" spans="1:13" ht="15.75" thickBot="1">
      <c r="A38" s="104"/>
      <c r="B38" s="15" t="s">
        <v>821</v>
      </c>
      <c r="C38" s="109"/>
      <c r="D38" s="16"/>
      <c r="E38" s="16"/>
      <c r="F38" s="16"/>
      <c r="G38" s="16"/>
      <c r="H38" s="16"/>
      <c r="I38" s="16"/>
      <c r="J38" s="116"/>
      <c r="K38" s="145"/>
      <c r="L38" s="145"/>
      <c r="M38" s="145"/>
    </row>
    <row r="39" spans="1:13" ht="18" thickBot="1">
      <c r="A39" s="104"/>
      <c r="B39" s="17" t="s">
        <v>1227</v>
      </c>
      <c r="C39" s="101"/>
      <c r="D39" s="11"/>
      <c r="E39" s="11"/>
      <c r="F39" s="11"/>
      <c r="G39" s="11"/>
      <c r="H39" s="11"/>
      <c r="I39" s="11"/>
      <c r="J39" s="115"/>
      <c r="K39" s="146"/>
      <c r="L39" s="146"/>
      <c r="M39" s="146"/>
    </row>
    <row r="40" spans="1:13" ht="15.75" thickBot="1">
      <c r="A40" s="104" t="s">
        <v>1596</v>
      </c>
      <c r="B40" s="14" t="s">
        <v>822</v>
      </c>
      <c r="C40" s="100" t="s">
        <v>1086</v>
      </c>
      <c r="D40" s="10" t="s">
        <v>116</v>
      </c>
      <c r="E40" s="10" t="s">
        <v>105</v>
      </c>
      <c r="F40" s="10" t="s">
        <v>745</v>
      </c>
      <c r="G40" s="100" t="s">
        <v>1228</v>
      </c>
      <c r="H40" s="100" t="s">
        <v>1229</v>
      </c>
      <c r="I40" s="100" t="s">
        <v>728</v>
      </c>
      <c r="J40" s="114" t="s">
        <v>1513</v>
      </c>
      <c r="K40" s="144">
        <f>384*0.00336</f>
        <v>1.29024</v>
      </c>
      <c r="L40" s="144">
        <f>660*0.00336</f>
        <v>2.2176</v>
      </c>
      <c r="M40" s="144">
        <v>0</v>
      </c>
    </row>
    <row r="41" spans="1:13" ht="15.75" thickBot="1">
      <c r="A41" s="104"/>
      <c r="B41" s="15" t="s">
        <v>823</v>
      </c>
      <c r="C41" s="109"/>
      <c r="D41" s="16" t="s">
        <v>92</v>
      </c>
      <c r="E41" s="16" t="s">
        <v>703</v>
      </c>
      <c r="F41" s="16" t="s">
        <v>9</v>
      </c>
      <c r="G41" s="109"/>
      <c r="H41" s="109"/>
      <c r="I41" s="109"/>
      <c r="J41" s="116"/>
      <c r="K41" s="145"/>
      <c r="L41" s="145"/>
      <c r="M41" s="145"/>
    </row>
    <row r="42" spans="1:13" ht="15.75" thickBot="1">
      <c r="A42" s="104"/>
      <c r="B42" s="17" t="s">
        <v>824</v>
      </c>
      <c r="C42" s="101"/>
      <c r="D42" s="11"/>
      <c r="E42" s="11"/>
      <c r="F42" s="11"/>
      <c r="G42" s="101"/>
      <c r="H42" s="101"/>
      <c r="I42" s="101"/>
      <c r="J42" s="115"/>
      <c r="K42" s="146"/>
      <c r="L42" s="146"/>
      <c r="M42" s="146"/>
    </row>
  </sheetData>
  <sheetProtection/>
  <mergeCells count="92">
    <mergeCell ref="A31:A34"/>
    <mergeCell ref="A35:A39"/>
    <mergeCell ref="A40:A42"/>
    <mergeCell ref="A15:A16"/>
    <mergeCell ref="A17:A19"/>
    <mergeCell ref="A20:A22"/>
    <mergeCell ref="A23:A25"/>
    <mergeCell ref="A26:A28"/>
    <mergeCell ref="A29:A30"/>
    <mergeCell ref="C31:C34"/>
    <mergeCell ref="A1:B1"/>
    <mergeCell ref="A3:A6"/>
    <mergeCell ref="A7:A9"/>
    <mergeCell ref="A10:A12"/>
    <mergeCell ref="A13:A14"/>
    <mergeCell ref="G4:H4"/>
    <mergeCell ref="I4:I6"/>
    <mergeCell ref="D5:E5"/>
    <mergeCell ref="D6:E6"/>
    <mergeCell ref="B3:B6"/>
    <mergeCell ref="C3:C6"/>
    <mergeCell ref="D3:F3"/>
    <mergeCell ref="G3:I3"/>
    <mergeCell ref="F4:F6"/>
    <mergeCell ref="G5:G6"/>
    <mergeCell ref="H5:H6"/>
    <mergeCell ref="C7:C9"/>
    <mergeCell ref="C10:C12"/>
    <mergeCell ref="C13:C14"/>
    <mergeCell ref="C15:C16"/>
    <mergeCell ref="C17:C19"/>
    <mergeCell ref="C20:C22"/>
    <mergeCell ref="C23:C25"/>
    <mergeCell ref="B26:B28"/>
    <mergeCell ref="C26:C28"/>
    <mergeCell ref="B29:B30"/>
    <mergeCell ref="C29:C30"/>
    <mergeCell ref="C35:C39"/>
    <mergeCell ref="C40:C42"/>
    <mergeCell ref="G40:G42"/>
    <mergeCell ref="H40:H42"/>
    <mergeCell ref="I40:I42"/>
    <mergeCell ref="J3:J6"/>
    <mergeCell ref="J7:J9"/>
    <mergeCell ref="J10:J12"/>
    <mergeCell ref="J13:J14"/>
    <mergeCell ref="J15:J16"/>
    <mergeCell ref="J17:J19"/>
    <mergeCell ref="J35:J39"/>
    <mergeCell ref="J40:J42"/>
    <mergeCell ref="J20:J22"/>
    <mergeCell ref="J23:J25"/>
    <mergeCell ref="J26:J28"/>
    <mergeCell ref="J29:J30"/>
    <mergeCell ref="J31:J34"/>
    <mergeCell ref="K3:M5"/>
    <mergeCell ref="K7:K9"/>
    <mergeCell ref="L7:L9"/>
    <mergeCell ref="M7:M9"/>
    <mergeCell ref="M10:M12"/>
    <mergeCell ref="L10:L12"/>
    <mergeCell ref="K10:K12"/>
    <mergeCell ref="K13:K14"/>
    <mergeCell ref="L13:L14"/>
    <mergeCell ref="M13:M14"/>
    <mergeCell ref="M15:M16"/>
    <mergeCell ref="L15:L16"/>
    <mergeCell ref="K15:K16"/>
    <mergeCell ref="K17:K19"/>
    <mergeCell ref="L17:L19"/>
    <mergeCell ref="M17:M19"/>
    <mergeCell ref="M20:M22"/>
    <mergeCell ref="L20:L22"/>
    <mergeCell ref="K20:K22"/>
    <mergeCell ref="K23:K25"/>
    <mergeCell ref="L23:L25"/>
    <mergeCell ref="M23:M25"/>
    <mergeCell ref="M26:M28"/>
    <mergeCell ref="L26:L28"/>
    <mergeCell ref="K26:K28"/>
    <mergeCell ref="K29:K30"/>
    <mergeCell ref="L29:L30"/>
    <mergeCell ref="M29:M30"/>
    <mergeCell ref="K31:K34"/>
    <mergeCell ref="L31:L34"/>
    <mergeCell ref="M31:M34"/>
    <mergeCell ref="M35:M39"/>
    <mergeCell ref="L35:L39"/>
    <mergeCell ref="K35:K39"/>
    <mergeCell ref="K40:K42"/>
    <mergeCell ref="L40:L42"/>
    <mergeCell ref="M40:M4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4"/>
  </sheetPr>
  <dimension ref="A1:K23"/>
  <sheetViews>
    <sheetView zoomScalePageLayoutView="0" workbookViewId="0" topLeftCell="A1">
      <selection activeCell="W9" sqref="W9"/>
    </sheetView>
  </sheetViews>
  <sheetFormatPr defaultColWidth="8.8515625" defaultRowHeight="15"/>
  <cols>
    <col min="1" max="1" width="8.8515625" style="3" customWidth="1"/>
    <col min="2" max="2" width="20.421875" style="3" customWidth="1"/>
    <col min="3" max="7" width="8.8515625" style="3" customWidth="1"/>
    <col min="8" max="8" width="12.28125" style="3" bestFit="1" customWidth="1"/>
    <col min="9" max="11" width="14.7109375" style="3" customWidth="1"/>
    <col min="12" max="16384" width="8.8515625" style="3" customWidth="1"/>
  </cols>
  <sheetData>
    <row r="1" spans="1:2" ht="15">
      <c r="A1" s="217" t="s">
        <v>825</v>
      </c>
      <c r="B1" s="217"/>
    </row>
    <row r="2" ht="15.75" thickBot="1">
      <c r="B2" s="9"/>
    </row>
    <row r="3" spans="1:11" ht="16.5" customHeight="1" thickBot="1">
      <c r="A3" s="104" t="s">
        <v>1583</v>
      </c>
      <c r="B3" s="100" t="s">
        <v>1</v>
      </c>
      <c r="C3" s="100" t="s">
        <v>2</v>
      </c>
      <c r="D3" s="110" t="s">
        <v>144</v>
      </c>
      <c r="E3" s="112"/>
      <c r="F3" s="110" t="s">
        <v>1175</v>
      </c>
      <c r="G3" s="112"/>
      <c r="H3" s="195" t="s">
        <v>1334</v>
      </c>
      <c r="I3" s="102" t="s">
        <v>1576</v>
      </c>
      <c r="J3" s="102"/>
      <c r="K3" s="102"/>
    </row>
    <row r="4" spans="1:11" ht="30.75" thickBot="1">
      <c r="A4" s="104"/>
      <c r="B4" s="109"/>
      <c r="C4" s="109"/>
      <c r="D4" s="10" t="s">
        <v>471</v>
      </c>
      <c r="E4" s="100" t="s">
        <v>5</v>
      </c>
      <c r="F4" s="100" t="s">
        <v>146</v>
      </c>
      <c r="G4" s="100" t="s">
        <v>84</v>
      </c>
      <c r="H4" s="195"/>
      <c r="I4" s="102"/>
      <c r="J4" s="102"/>
      <c r="K4" s="102"/>
    </row>
    <row r="5" spans="1:11" ht="15.75" thickBot="1">
      <c r="A5" s="104"/>
      <c r="B5" s="101"/>
      <c r="C5" s="101"/>
      <c r="D5" s="11" t="s">
        <v>4</v>
      </c>
      <c r="E5" s="101"/>
      <c r="F5" s="101"/>
      <c r="G5" s="101"/>
      <c r="H5" s="195"/>
      <c r="I5" s="40" t="s">
        <v>1577</v>
      </c>
      <c r="J5" s="40" t="s">
        <v>1578</v>
      </c>
      <c r="K5" s="40" t="s">
        <v>1579</v>
      </c>
    </row>
    <row r="6" spans="1:11" ht="30.75" customHeight="1" thickBot="1">
      <c r="A6" s="104" t="s">
        <v>1584</v>
      </c>
      <c r="B6" s="14" t="s">
        <v>826</v>
      </c>
      <c r="C6" s="100" t="s">
        <v>1086</v>
      </c>
      <c r="D6" s="10" t="s">
        <v>814</v>
      </c>
      <c r="E6" s="10" t="s">
        <v>422</v>
      </c>
      <c r="F6" s="100" t="s">
        <v>1176</v>
      </c>
      <c r="G6" s="100" t="s">
        <v>829</v>
      </c>
      <c r="H6" s="100" t="s">
        <v>1514</v>
      </c>
      <c r="I6" s="144">
        <f>3500*0.35*0.00336</f>
        <v>4.1160000000000005</v>
      </c>
      <c r="J6" s="144">
        <f>3500*0.65*0.00336</f>
        <v>7.644</v>
      </c>
      <c r="K6" s="144">
        <v>0</v>
      </c>
    </row>
    <row r="7" spans="1:11" ht="30.75" thickBot="1">
      <c r="A7" s="104"/>
      <c r="B7" s="17" t="s">
        <v>827</v>
      </c>
      <c r="C7" s="101"/>
      <c r="D7" s="11" t="s">
        <v>828</v>
      </c>
      <c r="E7" s="11" t="s">
        <v>664</v>
      </c>
      <c r="F7" s="101"/>
      <c r="G7" s="101"/>
      <c r="H7" s="101"/>
      <c r="I7" s="146"/>
      <c r="J7" s="146"/>
      <c r="K7" s="146"/>
    </row>
    <row r="8" spans="1:11" ht="45.75" customHeight="1" thickBot="1">
      <c r="A8" s="104" t="s">
        <v>1585</v>
      </c>
      <c r="B8" s="14" t="s">
        <v>830</v>
      </c>
      <c r="C8" s="100" t="s">
        <v>1086</v>
      </c>
      <c r="D8" s="10" t="s">
        <v>474</v>
      </c>
      <c r="E8" s="10" t="s">
        <v>422</v>
      </c>
      <c r="F8" s="10" t="s">
        <v>1177</v>
      </c>
      <c r="G8" s="10" t="s">
        <v>833</v>
      </c>
      <c r="H8" s="114" t="s">
        <v>1515</v>
      </c>
      <c r="I8" s="144">
        <f>4300*0.35*0.00336</f>
        <v>5.0568</v>
      </c>
      <c r="J8" s="144">
        <f>4300*0.65*0.00336</f>
        <v>9.3912</v>
      </c>
      <c r="K8" s="144">
        <v>0</v>
      </c>
    </row>
    <row r="9" spans="1:11" ht="75.75" thickBot="1">
      <c r="A9" s="104"/>
      <c r="B9" s="15" t="s">
        <v>831</v>
      </c>
      <c r="C9" s="109"/>
      <c r="D9" s="16" t="s">
        <v>832</v>
      </c>
      <c r="E9" s="16" t="s">
        <v>745</v>
      </c>
      <c r="F9" s="16" t="s">
        <v>1178</v>
      </c>
      <c r="G9" s="16" t="s">
        <v>834</v>
      </c>
      <c r="H9" s="116"/>
      <c r="I9" s="145"/>
      <c r="J9" s="145"/>
      <c r="K9" s="145"/>
    </row>
    <row r="10" spans="1:11" ht="15.75" thickBot="1">
      <c r="A10" s="104"/>
      <c r="B10" s="17"/>
      <c r="C10" s="101"/>
      <c r="D10" s="11" t="s">
        <v>94</v>
      </c>
      <c r="E10" s="11" t="s">
        <v>9</v>
      </c>
      <c r="F10" s="11"/>
      <c r="G10" s="11"/>
      <c r="H10" s="115"/>
      <c r="I10" s="146"/>
      <c r="J10" s="146"/>
      <c r="K10" s="146"/>
    </row>
    <row r="11" spans="1:11" ht="30.75" customHeight="1" thickBot="1">
      <c r="A11" s="104" t="s">
        <v>1586</v>
      </c>
      <c r="B11" s="14" t="s">
        <v>835</v>
      </c>
      <c r="C11" s="100" t="s">
        <v>1086</v>
      </c>
      <c r="D11" s="10" t="s">
        <v>125</v>
      </c>
      <c r="E11" s="10" t="s">
        <v>422</v>
      </c>
      <c r="F11" s="100" t="s">
        <v>1176</v>
      </c>
      <c r="G11" s="100" t="s">
        <v>829</v>
      </c>
      <c r="H11" s="114" t="s">
        <v>1516</v>
      </c>
      <c r="I11" s="144">
        <f>4400*0.7*0.00336</f>
        <v>10.3488</v>
      </c>
      <c r="J11" s="144">
        <f>4400*0.3*0.00336</f>
        <v>4.4352</v>
      </c>
      <c r="K11" s="144">
        <v>0</v>
      </c>
    </row>
    <row r="12" spans="1:11" ht="15.75" thickBot="1">
      <c r="A12" s="104"/>
      <c r="B12" s="17" t="s">
        <v>836</v>
      </c>
      <c r="C12" s="101"/>
      <c r="D12" s="11" t="s">
        <v>106</v>
      </c>
      <c r="E12" s="11" t="s">
        <v>9</v>
      </c>
      <c r="F12" s="101"/>
      <c r="G12" s="101"/>
      <c r="H12" s="115"/>
      <c r="I12" s="146"/>
      <c r="J12" s="146"/>
      <c r="K12" s="146"/>
    </row>
    <row r="13" spans="1:11" ht="45.75" thickBot="1">
      <c r="A13" s="104" t="s">
        <v>1587</v>
      </c>
      <c r="B13" s="14" t="s">
        <v>837</v>
      </c>
      <c r="C13" s="100" t="s">
        <v>1086</v>
      </c>
      <c r="D13" s="10" t="s">
        <v>441</v>
      </c>
      <c r="E13" s="10" t="s">
        <v>422</v>
      </c>
      <c r="F13" s="10" t="s">
        <v>1177</v>
      </c>
      <c r="G13" s="10" t="s">
        <v>833</v>
      </c>
      <c r="H13" s="114" t="s">
        <v>1517</v>
      </c>
      <c r="I13" s="144">
        <f>5200*0.7*0.00336</f>
        <v>12.2304</v>
      </c>
      <c r="J13" s="144">
        <f>5200*0.3*0.00336</f>
        <v>5.2416</v>
      </c>
      <c r="K13" s="144">
        <v>0</v>
      </c>
    </row>
    <row r="14" spans="1:11" ht="75.75" thickBot="1">
      <c r="A14" s="104"/>
      <c r="B14" s="17" t="s">
        <v>836</v>
      </c>
      <c r="C14" s="101"/>
      <c r="D14" s="11" t="s">
        <v>122</v>
      </c>
      <c r="E14" s="11" t="s">
        <v>9</v>
      </c>
      <c r="F14" s="11" t="s">
        <v>1178</v>
      </c>
      <c r="G14" s="11" t="s">
        <v>834</v>
      </c>
      <c r="H14" s="115"/>
      <c r="I14" s="146"/>
      <c r="J14" s="146"/>
      <c r="K14" s="146"/>
    </row>
    <row r="15" spans="1:11" ht="45.75" customHeight="1" thickBot="1">
      <c r="A15" s="104" t="s">
        <v>1589</v>
      </c>
      <c r="B15" s="14" t="s">
        <v>838</v>
      </c>
      <c r="C15" s="100" t="s">
        <v>1086</v>
      </c>
      <c r="D15" s="10" t="s">
        <v>840</v>
      </c>
      <c r="E15" s="10" t="s">
        <v>422</v>
      </c>
      <c r="F15" s="100" t="s">
        <v>1104</v>
      </c>
      <c r="G15" s="100" t="s">
        <v>841</v>
      </c>
      <c r="H15" s="114" t="s">
        <v>1518</v>
      </c>
      <c r="I15" s="144">
        <f>6716*0.00336</f>
        <v>22.56576</v>
      </c>
      <c r="J15" s="144">
        <f>1914*0.00336</f>
        <v>6.43104</v>
      </c>
      <c r="K15" s="144">
        <v>0</v>
      </c>
    </row>
    <row r="16" spans="1:11" ht="30.75" thickBot="1">
      <c r="A16" s="104"/>
      <c r="B16" s="17" t="s">
        <v>839</v>
      </c>
      <c r="C16" s="101"/>
      <c r="D16" s="11" t="s">
        <v>244</v>
      </c>
      <c r="E16" s="11" t="s">
        <v>9</v>
      </c>
      <c r="F16" s="101"/>
      <c r="G16" s="101"/>
      <c r="H16" s="115"/>
      <c r="I16" s="146"/>
      <c r="J16" s="146"/>
      <c r="K16" s="146"/>
    </row>
    <row r="17" spans="1:11" ht="60.75" thickBot="1">
      <c r="A17" s="104" t="s">
        <v>1590</v>
      </c>
      <c r="B17" s="14" t="s">
        <v>842</v>
      </c>
      <c r="C17" s="100" t="s">
        <v>1086</v>
      </c>
      <c r="D17" s="10" t="s">
        <v>845</v>
      </c>
      <c r="E17" s="10" t="s">
        <v>422</v>
      </c>
      <c r="F17" s="10" t="s">
        <v>1148</v>
      </c>
      <c r="G17" s="10" t="s">
        <v>846</v>
      </c>
      <c r="H17" s="114" t="s">
        <v>1519</v>
      </c>
      <c r="I17" s="144">
        <f>5300*0.35*0.00336</f>
        <v>6.232799999999999</v>
      </c>
      <c r="J17" s="144">
        <f>5300*0.65*0.00336</f>
        <v>11.5752</v>
      </c>
      <c r="K17" s="144">
        <v>0</v>
      </c>
    </row>
    <row r="18" spans="1:11" ht="33" thickBot="1">
      <c r="A18" s="104"/>
      <c r="B18" s="15" t="s">
        <v>843</v>
      </c>
      <c r="C18" s="109"/>
      <c r="D18" s="16" t="s">
        <v>117</v>
      </c>
      <c r="E18" s="16" t="s">
        <v>9</v>
      </c>
      <c r="F18" s="16" t="s">
        <v>1179</v>
      </c>
      <c r="G18" s="16" t="s">
        <v>847</v>
      </c>
      <c r="H18" s="116"/>
      <c r="I18" s="145"/>
      <c r="J18" s="145"/>
      <c r="K18" s="145"/>
    </row>
    <row r="19" spans="1:11" ht="30.75" thickBot="1">
      <c r="A19" s="104"/>
      <c r="B19" s="17" t="s">
        <v>844</v>
      </c>
      <c r="C19" s="101"/>
      <c r="D19" s="11"/>
      <c r="E19" s="11"/>
      <c r="F19" s="11"/>
      <c r="G19" s="11"/>
      <c r="H19" s="115"/>
      <c r="I19" s="146"/>
      <c r="J19" s="146"/>
      <c r="K19" s="146"/>
    </row>
    <row r="20" spans="1:11" ht="60.75" thickBot="1">
      <c r="A20" s="104" t="s">
        <v>1591</v>
      </c>
      <c r="B20" s="132" t="s">
        <v>848</v>
      </c>
      <c r="C20" s="100" t="s">
        <v>1086</v>
      </c>
      <c r="D20" s="10" t="s">
        <v>210</v>
      </c>
      <c r="E20" s="10" t="s">
        <v>422</v>
      </c>
      <c r="F20" s="10" t="s">
        <v>1148</v>
      </c>
      <c r="G20" s="10" t="s">
        <v>846</v>
      </c>
      <c r="H20" s="114" t="s">
        <v>1520</v>
      </c>
      <c r="I20" s="223">
        <f>7600*0.45*0.00336</f>
        <v>11.491200000000001</v>
      </c>
      <c r="J20" s="144">
        <f>7600*0.55*0.00336</f>
        <v>14.0448</v>
      </c>
      <c r="K20" s="144">
        <v>0</v>
      </c>
    </row>
    <row r="21" spans="1:11" ht="33" thickBot="1">
      <c r="A21" s="104"/>
      <c r="B21" s="133"/>
      <c r="C21" s="101"/>
      <c r="D21" s="11" t="s">
        <v>119</v>
      </c>
      <c r="E21" s="11" t="s">
        <v>9</v>
      </c>
      <c r="F21" s="11" t="s">
        <v>1179</v>
      </c>
      <c r="G21" s="11" t="s">
        <v>847</v>
      </c>
      <c r="H21" s="115"/>
      <c r="I21" s="224"/>
      <c r="J21" s="146"/>
      <c r="K21" s="146"/>
    </row>
    <row r="22" spans="1:11" ht="60.75" thickBot="1">
      <c r="A22" s="104" t="s">
        <v>1592</v>
      </c>
      <c r="B22" s="14" t="s">
        <v>849</v>
      </c>
      <c r="C22" s="100" t="s">
        <v>1086</v>
      </c>
      <c r="D22" s="10" t="s">
        <v>576</v>
      </c>
      <c r="E22" s="10" t="s">
        <v>422</v>
      </c>
      <c r="F22" s="10" t="s">
        <v>1180</v>
      </c>
      <c r="G22" s="10" t="s">
        <v>846</v>
      </c>
      <c r="H22" s="114" t="s">
        <v>1521</v>
      </c>
      <c r="I22" s="144">
        <f>950*0.4*0.00336</f>
        <v>1.2768000000000002</v>
      </c>
      <c r="J22" s="144">
        <f>950*0.6*0.00336</f>
        <v>1.9152</v>
      </c>
      <c r="K22" s="144">
        <v>0</v>
      </c>
    </row>
    <row r="23" spans="1:11" ht="60.75" thickBot="1">
      <c r="A23" s="104"/>
      <c r="B23" s="17" t="s">
        <v>850</v>
      </c>
      <c r="C23" s="101"/>
      <c r="D23" s="11" t="s">
        <v>106</v>
      </c>
      <c r="E23" s="11" t="s">
        <v>9</v>
      </c>
      <c r="F23" s="11" t="s">
        <v>1181</v>
      </c>
      <c r="G23" s="11" t="s">
        <v>851</v>
      </c>
      <c r="H23" s="115"/>
      <c r="I23" s="146"/>
      <c r="J23" s="146"/>
      <c r="K23" s="146"/>
    </row>
  </sheetData>
  <sheetProtection/>
  <mergeCells count="66">
    <mergeCell ref="A13:A14"/>
    <mergeCell ref="C13:C14"/>
    <mergeCell ref="A15:A16"/>
    <mergeCell ref="A17:A19"/>
    <mergeCell ref="A20:A21"/>
    <mergeCell ref="A22:A23"/>
    <mergeCell ref="A1:B1"/>
    <mergeCell ref="A3:A5"/>
    <mergeCell ref="A6:A7"/>
    <mergeCell ref="A8:A10"/>
    <mergeCell ref="A11:A12"/>
    <mergeCell ref="B20:B21"/>
    <mergeCell ref="C20:C21"/>
    <mergeCell ref="C22:C23"/>
    <mergeCell ref="H15:H16"/>
    <mergeCell ref="B3:B5"/>
    <mergeCell ref="C3:C5"/>
    <mergeCell ref="D3:E3"/>
    <mergeCell ref="F3:G3"/>
    <mergeCell ref="E4:E5"/>
    <mergeCell ref="F4:F5"/>
    <mergeCell ref="G4:G5"/>
    <mergeCell ref="C6:C7"/>
    <mergeCell ref="F6:F7"/>
    <mergeCell ref="G6:G7"/>
    <mergeCell ref="C8:C10"/>
    <mergeCell ref="C11:C12"/>
    <mergeCell ref="F11:F12"/>
    <mergeCell ref="G11:G12"/>
    <mergeCell ref="C15:C16"/>
    <mergeCell ref="F15:F16"/>
    <mergeCell ref="G15:G16"/>
    <mergeCell ref="C17:C19"/>
    <mergeCell ref="H17:H19"/>
    <mergeCell ref="H20:H21"/>
    <mergeCell ref="H22:H23"/>
    <mergeCell ref="H3:H5"/>
    <mergeCell ref="H6:H7"/>
    <mergeCell ref="H8:H10"/>
    <mergeCell ref="H11:H12"/>
    <mergeCell ref="H13:H14"/>
    <mergeCell ref="I3:K4"/>
    <mergeCell ref="I6:I7"/>
    <mergeCell ref="K6:K7"/>
    <mergeCell ref="J6:J7"/>
    <mergeCell ref="I8:I10"/>
    <mergeCell ref="J8:J10"/>
    <mergeCell ref="K8:K10"/>
    <mergeCell ref="I17:I19"/>
    <mergeCell ref="J17:J19"/>
    <mergeCell ref="K17:K19"/>
    <mergeCell ref="K11:K12"/>
    <mergeCell ref="J11:J12"/>
    <mergeCell ref="I11:I12"/>
    <mergeCell ref="I13:I14"/>
    <mergeCell ref="J13:J14"/>
    <mergeCell ref="K13:K14"/>
    <mergeCell ref="I20:I21"/>
    <mergeCell ref="I22:I23"/>
    <mergeCell ref="J22:J23"/>
    <mergeCell ref="K22:K23"/>
    <mergeCell ref="K15:K16"/>
    <mergeCell ref="J15:J16"/>
    <mergeCell ref="I15:I16"/>
    <mergeCell ref="K20:K21"/>
    <mergeCell ref="J20:J2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4"/>
  </sheetPr>
  <dimension ref="A1:P77"/>
  <sheetViews>
    <sheetView zoomScalePageLayoutView="0" workbookViewId="0" topLeftCell="A1">
      <selection activeCell="J1" sqref="J1"/>
    </sheetView>
  </sheetViews>
  <sheetFormatPr defaultColWidth="8.8515625" defaultRowHeight="15"/>
  <cols>
    <col min="1" max="1" width="8.8515625" style="3" customWidth="1"/>
    <col min="2" max="2" width="23.28125" style="3" customWidth="1"/>
    <col min="3" max="7" width="8.8515625" style="3" customWidth="1"/>
    <col min="8" max="8" width="11.28125" style="36" bestFit="1" customWidth="1"/>
    <col min="9" max="11" width="15.421875" style="3" customWidth="1"/>
    <col min="12" max="12" width="8.8515625" style="3" customWidth="1"/>
    <col min="13" max="13" width="9.57421875" style="3" bestFit="1" customWidth="1"/>
    <col min="14" max="14" width="11.00390625" style="3" bestFit="1" customWidth="1"/>
    <col min="15" max="16384" width="8.8515625" style="3" customWidth="1"/>
  </cols>
  <sheetData>
    <row r="1" spans="1:2" ht="15">
      <c r="A1" s="217" t="s">
        <v>852</v>
      </c>
      <c r="B1" s="217"/>
    </row>
    <row r="2" ht="15.75" thickBot="1">
      <c r="B2" s="9"/>
    </row>
    <row r="3" spans="1:14" ht="15.75" thickBot="1">
      <c r="A3" s="104" t="s">
        <v>1583</v>
      </c>
      <c r="B3" s="100" t="s">
        <v>1</v>
      </c>
      <c r="C3" s="100" t="s">
        <v>2</v>
      </c>
      <c r="D3" s="110" t="s">
        <v>144</v>
      </c>
      <c r="E3" s="112"/>
      <c r="F3" s="110" t="s">
        <v>79</v>
      </c>
      <c r="G3" s="112"/>
      <c r="H3" s="195" t="s">
        <v>1334</v>
      </c>
      <c r="I3" s="102" t="s">
        <v>1576</v>
      </c>
      <c r="J3" s="102"/>
      <c r="K3" s="102"/>
      <c r="L3" s="147"/>
      <c r="M3" s="181"/>
      <c r="N3" s="181"/>
    </row>
    <row r="4" spans="1:14" ht="30.75" thickBot="1">
      <c r="A4" s="104"/>
      <c r="B4" s="109"/>
      <c r="C4" s="109"/>
      <c r="D4" s="10" t="s">
        <v>471</v>
      </c>
      <c r="E4" s="100" t="s">
        <v>5</v>
      </c>
      <c r="F4" s="100" t="s">
        <v>146</v>
      </c>
      <c r="G4" s="100" t="s">
        <v>84</v>
      </c>
      <c r="H4" s="195"/>
      <c r="I4" s="102"/>
      <c r="J4" s="102"/>
      <c r="K4" s="102"/>
      <c r="L4" s="147"/>
      <c r="M4" s="181"/>
      <c r="N4" s="181"/>
    </row>
    <row r="5" spans="1:14" ht="15.75" thickBot="1">
      <c r="A5" s="104"/>
      <c r="B5" s="101"/>
      <c r="C5" s="101"/>
      <c r="D5" s="11" t="s">
        <v>4</v>
      </c>
      <c r="E5" s="101"/>
      <c r="F5" s="101"/>
      <c r="G5" s="101"/>
      <c r="H5" s="195"/>
      <c r="I5" s="40" t="s">
        <v>1580</v>
      </c>
      <c r="J5" s="40" t="s">
        <v>1578</v>
      </c>
      <c r="K5" s="40" t="s">
        <v>1579</v>
      </c>
      <c r="L5" s="147"/>
      <c r="M5" s="181"/>
      <c r="N5" s="181"/>
    </row>
    <row r="6" spans="1:15" ht="15.75" thickBot="1">
      <c r="A6" s="104" t="s">
        <v>1584</v>
      </c>
      <c r="B6" s="14" t="s">
        <v>853</v>
      </c>
      <c r="C6" s="100" t="s">
        <v>1085</v>
      </c>
      <c r="D6" s="100" t="s">
        <v>855</v>
      </c>
      <c r="E6" s="100" t="s">
        <v>9</v>
      </c>
      <c r="F6" s="100" t="s">
        <v>1156</v>
      </c>
      <c r="G6" s="100" t="s">
        <v>206</v>
      </c>
      <c r="H6" s="114" t="s">
        <v>1522</v>
      </c>
      <c r="I6" s="144">
        <f>38000*0.7*0.00336</f>
        <v>89.376</v>
      </c>
      <c r="J6" s="144">
        <f>38000*0.3*0.00336</f>
        <v>38.304</v>
      </c>
      <c r="K6" s="144">
        <v>0</v>
      </c>
      <c r="L6" s="147"/>
      <c r="M6" s="125"/>
      <c r="N6" s="125"/>
      <c r="O6" s="117"/>
    </row>
    <row r="7" spans="1:15" ht="15.75" thickBot="1">
      <c r="A7" s="104"/>
      <c r="B7" s="17" t="s">
        <v>854</v>
      </c>
      <c r="C7" s="101"/>
      <c r="D7" s="101"/>
      <c r="E7" s="101"/>
      <c r="F7" s="101"/>
      <c r="G7" s="101"/>
      <c r="H7" s="115"/>
      <c r="I7" s="146"/>
      <c r="J7" s="146"/>
      <c r="K7" s="146"/>
      <c r="L7" s="147"/>
      <c r="M7" s="125"/>
      <c r="N7" s="125"/>
      <c r="O7" s="117"/>
    </row>
    <row r="8" spans="1:15" ht="15.75" thickBot="1">
      <c r="A8" s="104" t="s">
        <v>1585</v>
      </c>
      <c r="B8" s="14" t="s">
        <v>856</v>
      </c>
      <c r="C8" s="100" t="s">
        <v>1086</v>
      </c>
      <c r="D8" s="10" t="s">
        <v>749</v>
      </c>
      <c r="E8" s="10" t="s">
        <v>422</v>
      </c>
      <c r="F8" s="100" t="s">
        <v>1157</v>
      </c>
      <c r="G8" s="100" t="s">
        <v>1158</v>
      </c>
      <c r="H8" s="114" t="s">
        <v>1523</v>
      </c>
      <c r="I8" s="144">
        <f>6900*0.7*0.00336</f>
        <v>16.2288</v>
      </c>
      <c r="J8" s="144">
        <f>6900*0.3*0.00336</f>
        <v>6.9552000000000005</v>
      </c>
      <c r="K8" s="144">
        <v>0</v>
      </c>
      <c r="L8" s="147"/>
      <c r="M8" s="125"/>
      <c r="N8" s="125"/>
      <c r="O8" s="117"/>
    </row>
    <row r="9" spans="1:15" ht="15.75" thickBot="1">
      <c r="A9" s="104"/>
      <c r="B9" s="15" t="s">
        <v>857</v>
      </c>
      <c r="C9" s="109"/>
      <c r="D9" s="16" t="s">
        <v>786</v>
      </c>
      <c r="E9" s="16" t="s">
        <v>9</v>
      </c>
      <c r="F9" s="109"/>
      <c r="G9" s="109"/>
      <c r="H9" s="116"/>
      <c r="I9" s="145"/>
      <c r="J9" s="145"/>
      <c r="K9" s="145"/>
      <c r="L9" s="147"/>
      <c r="M9" s="125"/>
      <c r="N9" s="125"/>
      <c r="O9" s="117"/>
    </row>
    <row r="10" spans="1:15" ht="15.75" thickBot="1">
      <c r="A10" s="104"/>
      <c r="B10" s="17" t="s">
        <v>858</v>
      </c>
      <c r="C10" s="101"/>
      <c r="D10" s="11"/>
      <c r="E10" s="11"/>
      <c r="F10" s="101"/>
      <c r="G10" s="101"/>
      <c r="H10" s="115"/>
      <c r="I10" s="146"/>
      <c r="J10" s="146"/>
      <c r="K10" s="146"/>
      <c r="L10" s="147"/>
      <c r="M10" s="125"/>
      <c r="N10" s="125"/>
      <c r="O10" s="117"/>
    </row>
    <row r="11" spans="1:16" ht="60.75" thickBot="1">
      <c r="A11" s="104">
        <v>3</v>
      </c>
      <c r="B11" s="14" t="s">
        <v>859</v>
      </c>
      <c r="C11" s="100" t="s">
        <v>1086</v>
      </c>
      <c r="D11" s="10" t="s">
        <v>861</v>
      </c>
      <c r="E11" s="10" t="s">
        <v>862</v>
      </c>
      <c r="F11" s="10" t="s">
        <v>863</v>
      </c>
      <c r="G11" s="10" t="s">
        <v>866</v>
      </c>
      <c r="H11" s="114" t="s">
        <v>1524</v>
      </c>
      <c r="I11" s="225">
        <f>12200*0.7*0.00336</f>
        <v>28.6944</v>
      </c>
      <c r="J11" s="225">
        <f>12200*0.3*0.00336</f>
        <v>12.297600000000001</v>
      </c>
      <c r="K11" s="225">
        <v>0</v>
      </c>
      <c r="L11" s="147"/>
      <c r="M11" s="125"/>
      <c r="N11" s="62"/>
      <c r="O11" s="117"/>
      <c r="P11" s="61"/>
    </row>
    <row r="12" spans="1:16" ht="48" thickBot="1">
      <c r="A12" s="104"/>
      <c r="B12" s="15" t="s">
        <v>860</v>
      </c>
      <c r="C12" s="109"/>
      <c r="D12" s="30">
        <v>1.11</v>
      </c>
      <c r="E12" s="16" t="s">
        <v>9</v>
      </c>
      <c r="F12" s="16" t="s">
        <v>1159</v>
      </c>
      <c r="G12" s="16" t="s">
        <v>1160</v>
      </c>
      <c r="H12" s="116"/>
      <c r="I12" s="226"/>
      <c r="J12" s="226"/>
      <c r="K12" s="226"/>
      <c r="L12" s="147"/>
      <c r="M12" s="125"/>
      <c r="N12" s="62"/>
      <c r="O12" s="117"/>
      <c r="P12" s="45"/>
    </row>
    <row r="13" spans="1:16" ht="75.75" thickBot="1">
      <c r="A13" s="104"/>
      <c r="B13" s="15"/>
      <c r="C13" s="109"/>
      <c r="D13" s="16"/>
      <c r="E13" s="16"/>
      <c r="F13" s="16" t="s">
        <v>864</v>
      </c>
      <c r="G13" s="16" t="s">
        <v>867</v>
      </c>
      <c r="H13" s="116"/>
      <c r="I13" s="226">
        <f>19520*0.7*0.00336</f>
        <v>45.91104</v>
      </c>
      <c r="J13" s="226">
        <f>19520*0.3*0.00336</f>
        <v>19.67616</v>
      </c>
      <c r="K13" s="226">
        <v>0</v>
      </c>
      <c r="L13" s="147"/>
      <c r="M13" s="125"/>
      <c r="N13" s="62"/>
      <c r="O13" s="117"/>
      <c r="P13" s="45"/>
    </row>
    <row r="14" spans="1:16" ht="48" thickBot="1">
      <c r="A14" s="104"/>
      <c r="B14" s="15"/>
      <c r="C14" s="109"/>
      <c r="D14" s="16"/>
      <c r="E14" s="16"/>
      <c r="F14" s="16" t="s">
        <v>1161</v>
      </c>
      <c r="G14" s="16" t="s">
        <v>1160</v>
      </c>
      <c r="H14" s="116"/>
      <c r="I14" s="226"/>
      <c r="J14" s="226"/>
      <c r="K14" s="226"/>
      <c r="L14" s="147"/>
      <c r="M14" s="125"/>
      <c r="N14" s="62"/>
      <c r="O14" s="117"/>
      <c r="P14" s="45"/>
    </row>
    <row r="15" spans="1:16" ht="45.75" thickBot="1">
      <c r="A15" s="104"/>
      <c r="B15" s="15"/>
      <c r="C15" s="109"/>
      <c r="D15" s="16"/>
      <c r="E15" s="16"/>
      <c r="F15" s="16" t="s">
        <v>865</v>
      </c>
      <c r="G15" s="16" t="s">
        <v>868</v>
      </c>
      <c r="H15" s="116"/>
      <c r="I15" s="226">
        <f>26840*0.7*0.00336</f>
        <v>63.127680000000005</v>
      </c>
      <c r="J15" s="226">
        <f>26840*0.3*0.00336</f>
        <v>27.05472</v>
      </c>
      <c r="K15" s="226">
        <v>0</v>
      </c>
      <c r="L15" s="147"/>
      <c r="M15" s="125"/>
      <c r="N15" s="62"/>
      <c r="O15" s="117"/>
      <c r="P15" s="45"/>
    </row>
    <row r="16" spans="1:16" ht="63" thickBot="1">
      <c r="A16" s="104"/>
      <c r="B16" s="17"/>
      <c r="C16" s="101"/>
      <c r="D16" s="11"/>
      <c r="E16" s="11"/>
      <c r="F16" s="11" t="s">
        <v>1162</v>
      </c>
      <c r="G16" s="11" t="s">
        <v>1163</v>
      </c>
      <c r="H16" s="115"/>
      <c r="I16" s="227"/>
      <c r="J16" s="227"/>
      <c r="K16" s="227"/>
      <c r="L16" s="147"/>
      <c r="M16" s="125"/>
      <c r="N16" s="62"/>
      <c r="O16" s="117"/>
      <c r="P16" s="45"/>
    </row>
    <row r="17" spans="1:16" ht="60.75" thickBot="1">
      <c r="A17" s="104" t="s">
        <v>1587</v>
      </c>
      <c r="B17" s="14" t="s">
        <v>869</v>
      </c>
      <c r="C17" s="100" t="s">
        <v>1637</v>
      </c>
      <c r="D17" s="10" t="s">
        <v>832</v>
      </c>
      <c r="E17" s="10" t="s">
        <v>862</v>
      </c>
      <c r="F17" s="10" t="s">
        <v>1164</v>
      </c>
      <c r="G17" s="10" t="s">
        <v>874</v>
      </c>
      <c r="H17" s="114" t="s">
        <v>1525</v>
      </c>
      <c r="I17" s="228">
        <f>10000*0.7*0.00336</f>
        <v>23.52</v>
      </c>
      <c r="J17" s="228">
        <f>10000*0.3*0.00336</f>
        <v>10.08</v>
      </c>
      <c r="K17" s="228">
        <v>0</v>
      </c>
      <c r="L17" s="147"/>
      <c r="M17" s="125"/>
      <c r="N17" s="125"/>
      <c r="O17" s="54"/>
      <c r="P17" s="45"/>
    </row>
    <row r="18" spans="1:16" ht="60.75" thickBot="1">
      <c r="A18" s="104"/>
      <c r="B18" s="15" t="s">
        <v>870</v>
      </c>
      <c r="C18" s="109"/>
      <c r="D18" s="16" t="s">
        <v>130</v>
      </c>
      <c r="E18" s="16" t="s">
        <v>9</v>
      </c>
      <c r="F18" s="16" t="s">
        <v>872</v>
      </c>
      <c r="G18" s="16" t="s">
        <v>875</v>
      </c>
      <c r="H18" s="116"/>
      <c r="I18" s="229">
        <f>15000*0.7*0.00336</f>
        <v>35.28</v>
      </c>
      <c r="J18" s="229">
        <f>15000*0.3*0.00336</f>
        <v>15.120000000000001</v>
      </c>
      <c r="K18" s="229">
        <v>0</v>
      </c>
      <c r="L18" s="147"/>
      <c r="M18" s="125"/>
      <c r="N18" s="125"/>
      <c r="O18" s="54"/>
      <c r="P18" s="45"/>
    </row>
    <row r="19" spans="1:15" ht="45.75" thickBot="1">
      <c r="A19" s="104"/>
      <c r="B19" s="17" t="s">
        <v>871</v>
      </c>
      <c r="C19" s="101"/>
      <c r="D19" s="11"/>
      <c r="E19" s="11"/>
      <c r="F19" s="11" t="s">
        <v>873</v>
      </c>
      <c r="G19" s="11" t="s">
        <v>876</v>
      </c>
      <c r="H19" s="115"/>
      <c r="I19" s="230">
        <f>13700*0.7*0.00336</f>
        <v>32.2224</v>
      </c>
      <c r="J19" s="230">
        <f>13700*0.3*0.00336</f>
        <v>13.809600000000001</v>
      </c>
      <c r="K19" s="230">
        <v>0</v>
      </c>
      <c r="L19" s="147"/>
      <c r="M19" s="125"/>
      <c r="N19" s="125"/>
      <c r="O19" s="54"/>
    </row>
    <row r="20" spans="1:15" ht="75.75" thickBot="1">
      <c r="A20" s="49" t="s">
        <v>1589</v>
      </c>
      <c r="B20" s="12" t="s">
        <v>877</v>
      </c>
      <c r="C20" s="13" t="s">
        <v>1086</v>
      </c>
      <c r="D20" s="13" t="s">
        <v>8</v>
      </c>
      <c r="E20" s="13" t="s">
        <v>745</v>
      </c>
      <c r="F20" s="13" t="s">
        <v>1165</v>
      </c>
      <c r="G20" s="13" t="s">
        <v>878</v>
      </c>
      <c r="H20" s="34" t="s">
        <v>1526</v>
      </c>
      <c r="I20" s="95">
        <f>3500*0.7*0.00336</f>
        <v>8.232000000000001</v>
      </c>
      <c r="J20" s="95">
        <f>3500*0.3*0.00336</f>
        <v>3.528</v>
      </c>
      <c r="K20" s="95">
        <v>0</v>
      </c>
      <c r="O20" s="54"/>
    </row>
    <row r="21" spans="1:15" ht="45.75" thickBot="1">
      <c r="A21" s="104" t="s">
        <v>1590</v>
      </c>
      <c r="B21" s="14" t="s">
        <v>879</v>
      </c>
      <c r="C21" s="100" t="s">
        <v>1086</v>
      </c>
      <c r="D21" s="10" t="s">
        <v>882</v>
      </c>
      <c r="E21" s="10" t="s">
        <v>745</v>
      </c>
      <c r="F21" s="10" t="s">
        <v>1166</v>
      </c>
      <c r="G21" s="10" t="s">
        <v>885</v>
      </c>
      <c r="H21" s="114" t="s">
        <v>1527</v>
      </c>
      <c r="I21" s="144">
        <f>13500*0.7*0.00336</f>
        <v>31.752000000000002</v>
      </c>
      <c r="J21" s="144">
        <f>13500*0.3*0.00336</f>
        <v>13.608</v>
      </c>
      <c r="K21" s="144">
        <v>0</v>
      </c>
      <c r="L21" s="147"/>
      <c r="M21" s="125"/>
      <c r="N21" s="125"/>
      <c r="O21" s="117"/>
    </row>
    <row r="22" spans="1:15" ht="60.75" thickBot="1">
      <c r="A22" s="104"/>
      <c r="B22" s="15" t="s">
        <v>880</v>
      </c>
      <c r="C22" s="109"/>
      <c r="D22" s="16" t="s">
        <v>228</v>
      </c>
      <c r="E22" s="16" t="s">
        <v>1570</v>
      </c>
      <c r="F22" s="16" t="s">
        <v>1167</v>
      </c>
      <c r="G22" s="16" t="s">
        <v>886</v>
      </c>
      <c r="H22" s="116"/>
      <c r="I22" s="145"/>
      <c r="J22" s="145"/>
      <c r="K22" s="145"/>
      <c r="L22" s="147"/>
      <c r="M22" s="125"/>
      <c r="N22" s="125"/>
      <c r="O22" s="117"/>
    </row>
    <row r="23" spans="1:15" ht="30.75" thickBot="1">
      <c r="A23" s="104"/>
      <c r="B23" s="15" t="s">
        <v>881</v>
      </c>
      <c r="C23" s="109"/>
      <c r="D23" s="16" t="s">
        <v>192</v>
      </c>
      <c r="E23" s="16" t="s">
        <v>9</v>
      </c>
      <c r="F23" s="16" t="s">
        <v>1168</v>
      </c>
      <c r="G23" s="16" t="s">
        <v>887</v>
      </c>
      <c r="H23" s="116"/>
      <c r="I23" s="145"/>
      <c r="J23" s="145"/>
      <c r="K23" s="145"/>
      <c r="L23" s="147"/>
      <c r="M23" s="125"/>
      <c r="N23" s="125"/>
      <c r="O23" s="117"/>
    </row>
    <row r="24" spans="1:15" ht="30.75" thickBot="1">
      <c r="A24" s="104"/>
      <c r="B24" s="15"/>
      <c r="C24" s="109"/>
      <c r="D24" s="16"/>
      <c r="E24" s="16"/>
      <c r="F24" s="16" t="s">
        <v>1169</v>
      </c>
      <c r="G24" s="16" t="s">
        <v>888</v>
      </c>
      <c r="H24" s="116"/>
      <c r="I24" s="145"/>
      <c r="J24" s="145"/>
      <c r="K24" s="145"/>
      <c r="L24" s="147"/>
      <c r="M24" s="125"/>
      <c r="N24" s="125"/>
      <c r="O24" s="117"/>
    </row>
    <row r="25" spans="1:15" ht="15.75" thickBot="1">
      <c r="A25" s="104"/>
      <c r="B25" s="15"/>
      <c r="C25" s="109"/>
      <c r="D25" s="16"/>
      <c r="E25" s="16"/>
      <c r="F25" s="16" t="s">
        <v>883</v>
      </c>
      <c r="G25" s="16" t="s">
        <v>889</v>
      </c>
      <c r="H25" s="116"/>
      <c r="I25" s="145"/>
      <c r="J25" s="145"/>
      <c r="K25" s="145"/>
      <c r="L25" s="147"/>
      <c r="M25" s="125"/>
      <c r="N25" s="125"/>
      <c r="O25" s="117"/>
    </row>
    <row r="26" spans="1:15" ht="45.75" thickBot="1">
      <c r="A26" s="104"/>
      <c r="B26" s="17"/>
      <c r="C26" s="101"/>
      <c r="D26" s="11"/>
      <c r="E26" s="11"/>
      <c r="F26" s="11" t="s">
        <v>884</v>
      </c>
      <c r="G26" s="11" t="s">
        <v>890</v>
      </c>
      <c r="H26" s="115"/>
      <c r="I26" s="146"/>
      <c r="J26" s="146"/>
      <c r="K26" s="146"/>
      <c r="L26" s="147"/>
      <c r="M26" s="125"/>
      <c r="N26" s="125"/>
      <c r="O26" s="117"/>
    </row>
    <row r="27" spans="1:15" ht="60.75" thickBot="1">
      <c r="A27" s="104" t="s">
        <v>1591</v>
      </c>
      <c r="B27" s="14" t="s">
        <v>879</v>
      </c>
      <c r="C27" s="100" t="s">
        <v>1086</v>
      </c>
      <c r="D27" s="10" t="s">
        <v>217</v>
      </c>
      <c r="E27" s="10" t="s">
        <v>1570</v>
      </c>
      <c r="F27" s="10" t="s">
        <v>1168</v>
      </c>
      <c r="G27" s="10" t="s">
        <v>887</v>
      </c>
      <c r="H27" s="114" t="s">
        <v>1528</v>
      </c>
      <c r="I27" s="144">
        <f>18500*0.7*0.00336</f>
        <v>43.512</v>
      </c>
      <c r="J27" s="144">
        <f>18500*0.3*0.00336</f>
        <v>18.648</v>
      </c>
      <c r="K27" s="144">
        <v>0</v>
      </c>
      <c r="L27" s="147"/>
      <c r="M27" s="125"/>
      <c r="N27" s="125"/>
      <c r="O27" s="117"/>
    </row>
    <row r="28" spans="1:15" ht="30.75" thickBot="1">
      <c r="A28" s="104"/>
      <c r="B28" s="15" t="s">
        <v>891</v>
      </c>
      <c r="C28" s="109"/>
      <c r="D28" s="16" t="s">
        <v>192</v>
      </c>
      <c r="E28" s="16" t="s">
        <v>9</v>
      </c>
      <c r="F28" s="16" t="s">
        <v>1169</v>
      </c>
      <c r="G28" s="16" t="s">
        <v>888</v>
      </c>
      <c r="H28" s="116"/>
      <c r="I28" s="145"/>
      <c r="J28" s="145"/>
      <c r="K28" s="145"/>
      <c r="L28" s="147"/>
      <c r="M28" s="125"/>
      <c r="N28" s="125"/>
      <c r="O28" s="117"/>
    </row>
    <row r="29" spans="1:15" ht="30.75" thickBot="1">
      <c r="A29" s="104"/>
      <c r="B29" s="15" t="s">
        <v>881</v>
      </c>
      <c r="C29" s="109"/>
      <c r="D29" s="16"/>
      <c r="E29" s="16"/>
      <c r="F29" s="16" t="s">
        <v>485</v>
      </c>
      <c r="G29" s="16" t="s">
        <v>893</v>
      </c>
      <c r="H29" s="116"/>
      <c r="I29" s="145"/>
      <c r="J29" s="145"/>
      <c r="K29" s="145"/>
      <c r="L29" s="147"/>
      <c r="M29" s="125"/>
      <c r="N29" s="125"/>
      <c r="O29" s="117"/>
    </row>
    <row r="30" spans="1:15" ht="30.75" thickBot="1">
      <c r="A30" s="104"/>
      <c r="B30" s="15"/>
      <c r="C30" s="109"/>
      <c r="D30" s="16"/>
      <c r="E30" s="16"/>
      <c r="F30" s="16" t="s">
        <v>892</v>
      </c>
      <c r="G30" s="16" t="s">
        <v>894</v>
      </c>
      <c r="H30" s="116"/>
      <c r="I30" s="145"/>
      <c r="J30" s="145"/>
      <c r="K30" s="145"/>
      <c r="L30" s="147"/>
      <c r="M30" s="125"/>
      <c r="N30" s="125"/>
      <c r="O30" s="117"/>
    </row>
    <row r="31" spans="1:15" ht="15.75" thickBot="1">
      <c r="A31" s="104"/>
      <c r="B31" s="15"/>
      <c r="C31" s="109"/>
      <c r="D31" s="16"/>
      <c r="E31" s="16"/>
      <c r="F31" s="16" t="s">
        <v>883</v>
      </c>
      <c r="G31" s="16" t="s">
        <v>889</v>
      </c>
      <c r="H31" s="116"/>
      <c r="I31" s="145"/>
      <c r="J31" s="145"/>
      <c r="K31" s="145"/>
      <c r="L31" s="147"/>
      <c r="M31" s="125"/>
      <c r="N31" s="125"/>
      <c r="O31" s="117"/>
    </row>
    <row r="32" spans="1:15" ht="45.75" thickBot="1">
      <c r="A32" s="104"/>
      <c r="B32" s="17"/>
      <c r="C32" s="101"/>
      <c r="D32" s="11"/>
      <c r="E32" s="11"/>
      <c r="F32" s="11" t="s">
        <v>884</v>
      </c>
      <c r="G32" s="11" t="s">
        <v>890</v>
      </c>
      <c r="H32" s="115"/>
      <c r="I32" s="146"/>
      <c r="J32" s="146"/>
      <c r="K32" s="146"/>
      <c r="L32" s="147"/>
      <c r="M32" s="125"/>
      <c r="N32" s="125"/>
      <c r="O32" s="117"/>
    </row>
    <row r="33" spans="1:15" ht="45.75" thickBot="1">
      <c r="A33" s="104" t="s">
        <v>1592</v>
      </c>
      <c r="B33" s="14" t="s">
        <v>895</v>
      </c>
      <c r="C33" s="100" t="s">
        <v>1086</v>
      </c>
      <c r="D33" s="100" t="s">
        <v>129</v>
      </c>
      <c r="E33" s="100" t="s">
        <v>1570</v>
      </c>
      <c r="F33" s="10" t="s">
        <v>1170</v>
      </c>
      <c r="G33" s="10" t="s">
        <v>897</v>
      </c>
      <c r="H33" s="114" t="s">
        <v>1529</v>
      </c>
      <c r="I33" s="144">
        <f>16000*0.7*0.00336</f>
        <v>37.632000000000005</v>
      </c>
      <c r="J33" s="144">
        <f>16000*0.3*0.00336</f>
        <v>16.128</v>
      </c>
      <c r="K33" s="144">
        <v>0</v>
      </c>
      <c r="L33" s="147"/>
      <c r="M33" s="125"/>
      <c r="N33" s="125"/>
      <c r="O33" s="117"/>
    </row>
    <row r="34" spans="1:15" ht="30.75" thickBot="1">
      <c r="A34" s="104"/>
      <c r="B34" s="15" t="s">
        <v>891</v>
      </c>
      <c r="C34" s="109"/>
      <c r="D34" s="109"/>
      <c r="E34" s="109"/>
      <c r="F34" s="16" t="s">
        <v>896</v>
      </c>
      <c r="G34" s="16" t="s">
        <v>898</v>
      </c>
      <c r="H34" s="116"/>
      <c r="I34" s="145"/>
      <c r="J34" s="145"/>
      <c r="K34" s="145"/>
      <c r="L34" s="147"/>
      <c r="M34" s="125"/>
      <c r="N34" s="125"/>
      <c r="O34" s="117"/>
    </row>
    <row r="35" spans="1:15" ht="15.75" thickBot="1">
      <c r="A35" s="104"/>
      <c r="B35" s="15" t="s">
        <v>881</v>
      </c>
      <c r="C35" s="109"/>
      <c r="D35" s="109"/>
      <c r="E35" s="109"/>
      <c r="F35" s="16" t="s">
        <v>883</v>
      </c>
      <c r="G35" s="16" t="s">
        <v>889</v>
      </c>
      <c r="H35" s="116"/>
      <c r="I35" s="145"/>
      <c r="J35" s="145"/>
      <c r="K35" s="145"/>
      <c r="L35" s="147"/>
      <c r="M35" s="125"/>
      <c r="N35" s="125"/>
      <c r="O35" s="117"/>
    </row>
    <row r="36" spans="1:15" ht="45.75" thickBot="1">
      <c r="A36" s="104"/>
      <c r="B36" s="17"/>
      <c r="C36" s="101"/>
      <c r="D36" s="101"/>
      <c r="E36" s="101"/>
      <c r="F36" s="11" t="s">
        <v>884</v>
      </c>
      <c r="G36" s="11" t="s">
        <v>890</v>
      </c>
      <c r="H36" s="115"/>
      <c r="I36" s="146"/>
      <c r="J36" s="146"/>
      <c r="K36" s="146"/>
      <c r="L36" s="147"/>
      <c r="M36" s="125"/>
      <c r="N36" s="125"/>
      <c r="O36" s="117"/>
    </row>
    <row r="37" spans="1:15" ht="30.75" thickBot="1">
      <c r="A37" s="104" t="s">
        <v>1593</v>
      </c>
      <c r="B37" s="14" t="s">
        <v>899</v>
      </c>
      <c r="C37" s="100" t="s">
        <v>1086</v>
      </c>
      <c r="D37" s="100" t="s">
        <v>786</v>
      </c>
      <c r="E37" s="100" t="s">
        <v>901</v>
      </c>
      <c r="F37" s="10" t="s">
        <v>1171</v>
      </c>
      <c r="G37" s="10" t="s">
        <v>903</v>
      </c>
      <c r="H37" s="114" t="s">
        <v>1530</v>
      </c>
      <c r="I37" s="144">
        <f>7800*0.7*0.00336</f>
        <v>18.3456</v>
      </c>
      <c r="J37" s="144">
        <f>7800*0.3*0.00336</f>
        <v>7.8624</v>
      </c>
      <c r="K37" s="144">
        <v>0</v>
      </c>
      <c r="L37" s="147"/>
      <c r="M37" s="125"/>
      <c r="N37" s="125"/>
      <c r="O37" s="117"/>
    </row>
    <row r="38" spans="1:15" ht="15.75" thickBot="1">
      <c r="A38" s="104"/>
      <c r="B38" s="17" t="s">
        <v>900</v>
      </c>
      <c r="C38" s="101"/>
      <c r="D38" s="101"/>
      <c r="E38" s="101"/>
      <c r="F38" s="11" t="s">
        <v>902</v>
      </c>
      <c r="G38" s="11" t="s">
        <v>904</v>
      </c>
      <c r="H38" s="115"/>
      <c r="I38" s="146"/>
      <c r="J38" s="146"/>
      <c r="K38" s="146"/>
      <c r="L38" s="147"/>
      <c r="M38" s="125"/>
      <c r="N38" s="125"/>
      <c r="O38" s="117"/>
    </row>
    <row r="39" spans="1:15" ht="18" thickBot="1">
      <c r="A39" s="104" t="s">
        <v>1594</v>
      </c>
      <c r="B39" s="14" t="s">
        <v>905</v>
      </c>
      <c r="C39" s="100" t="s">
        <v>1086</v>
      </c>
      <c r="D39" s="100" t="s">
        <v>112</v>
      </c>
      <c r="E39" s="100" t="s">
        <v>901</v>
      </c>
      <c r="F39" s="10" t="s">
        <v>1172</v>
      </c>
      <c r="G39" s="10" t="s">
        <v>908</v>
      </c>
      <c r="H39" s="114" t="s">
        <v>1531</v>
      </c>
      <c r="I39" s="144">
        <f>10000*0.7*0.00336</f>
        <v>23.52</v>
      </c>
      <c r="J39" s="144">
        <f>10000*0.3*0.00336</f>
        <v>10.08</v>
      </c>
      <c r="K39" s="144"/>
      <c r="L39" s="147"/>
      <c r="M39" s="125"/>
      <c r="N39" s="125"/>
      <c r="O39" s="117"/>
    </row>
    <row r="40" spans="1:15" ht="30.75" thickBot="1">
      <c r="A40" s="104"/>
      <c r="B40" s="17" t="s">
        <v>906</v>
      </c>
      <c r="C40" s="101"/>
      <c r="D40" s="101"/>
      <c r="E40" s="101"/>
      <c r="F40" s="11" t="s">
        <v>907</v>
      </c>
      <c r="G40" s="11" t="s">
        <v>909</v>
      </c>
      <c r="H40" s="115"/>
      <c r="I40" s="146"/>
      <c r="J40" s="146"/>
      <c r="K40" s="146"/>
      <c r="L40" s="147"/>
      <c r="M40" s="125"/>
      <c r="N40" s="125"/>
      <c r="O40" s="117"/>
    </row>
    <row r="41" spans="1:15" ht="30.75" thickBot="1">
      <c r="A41" s="104" t="s">
        <v>1595</v>
      </c>
      <c r="B41" s="14" t="s">
        <v>910</v>
      </c>
      <c r="C41" s="100" t="s">
        <v>1086</v>
      </c>
      <c r="D41" s="10" t="s">
        <v>912</v>
      </c>
      <c r="E41" s="10" t="s">
        <v>862</v>
      </c>
      <c r="F41" s="10" t="s">
        <v>913</v>
      </c>
      <c r="G41" s="10" t="s">
        <v>915</v>
      </c>
      <c r="H41" s="114" t="s">
        <v>1532</v>
      </c>
      <c r="I41" s="144">
        <f>7600*0.7*0.00336</f>
        <v>17.8752</v>
      </c>
      <c r="J41" s="144">
        <f>7600*0.3*0.00336</f>
        <v>7.6608</v>
      </c>
      <c r="K41" s="144">
        <v>0</v>
      </c>
      <c r="L41" s="147"/>
      <c r="M41" s="125"/>
      <c r="N41" s="125"/>
      <c r="O41" s="117"/>
    </row>
    <row r="42" spans="1:15" ht="60.75" thickBot="1">
      <c r="A42" s="104"/>
      <c r="B42" s="17" t="s">
        <v>911</v>
      </c>
      <c r="C42" s="101"/>
      <c r="D42" s="11" t="s">
        <v>94</v>
      </c>
      <c r="E42" s="11" t="s">
        <v>9</v>
      </c>
      <c r="F42" s="11" t="s">
        <v>914</v>
      </c>
      <c r="G42" s="11" t="s">
        <v>916</v>
      </c>
      <c r="H42" s="115"/>
      <c r="I42" s="146"/>
      <c r="J42" s="146"/>
      <c r="K42" s="146"/>
      <c r="L42" s="147"/>
      <c r="M42" s="125"/>
      <c r="N42" s="125"/>
      <c r="O42" s="117"/>
    </row>
    <row r="43" spans="1:15" ht="30.75" thickBot="1">
      <c r="A43" s="127" t="s">
        <v>1596</v>
      </c>
      <c r="B43" s="84" t="s">
        <v>917</v>
      </c>
      <c r="C43" s="130" t="s">
        <v>1086</v>
      </c>
      <c r="D43" s="130" t="s">
        <v>75</v>
      </c>
      <c r="E43" s="130" t="s">
        <v>9</v>
      </c>
      <c r="F43" s="130" t="s">
        <v>1153</v>
      </c>
      <c r="G43" s="86" t="s">
        <v>919</v>
      </c>
      <c r="H43" s="148" t="s">
        <v>1533</v>
      </c>
      <c r="I43" s="144">
        <f>714*0.00336</f>
        <v>2.3990400000000003</v>
      </c>
      <c r="J43" s="144">
        <f>99*0.00336</f>
        <v>0.33264</v>
      </c>
      <c r="K43" s="144">
        <v>0</v>
      </c>
      <c r="L43" s="161"/>
      <c r="M43" s="192"/>
      <c r="N43" s="192"/>
      <c r="O43" s="126"/>
    </row>
    <row r="44" spans="1:15" ht="48" thickBot="1">
      <c r="A44" s="127"/>
      <c r="B44" s="85" t="s">
        <v>918</v>
      </c>
      <c r="C44" s="131"/>
      <c r="D44" s="131"/>
      <c r="E44" s="131"/>
      <c r="F44" s="131"/>
      <c r="G44" s="87" t="s">
        <v>1173</v>
      </c>
      <c r="H44" s="149"/>
      <c r="I44" s="146"/>
      <c r="J44" s="146"/>
      <c r="K44" s="146"/>
      <c r="L44" s="161"/>
      <c r="M44" s="192"/>
      <c r="N44" s="192"/>
      <c r="O44" s="126"/>
    </row>
    <row r="45" spans="1:15" ht="15.75" thickBot="1">
      <c r="A45" s="127" t="s">
        <v>1597</v>
      </c>
      <c r="B45" s="84" t="s">
        <v>920</v>
      </c>
      <c r="C45" s="130" t="s">
        <v>1085</v>
      </c>
      <c r="D45" s="107">
        <v>7.5</v>
      </c>
      <c r="E45" s="130" t="s">
        <v>9</v>
      </c>
      <c r="F45" s="130" t="s">
        <v>1156</v>
      </c>
      <c r="G45" s="130" t="s">
        <v>1174</v>
      </c>
      <c r="H45" s="148" t="s">
        <v>1534</v>
      </c>
      <c r="I45" s="144">
        <f>1582*0.00336</f>
        <v>5.31552</v>
      </c>
      <c r="J45" s="144">
        <f>1848*0.00336</f>
        <v>6.209280000000001</v>
      </c>
      <c r="K45" s="144">
        <v>0</v>
      </c>
      <c r="L45" s="161"/>
      <c r="M45" s="192"/>
      <c r="N45" s="192"/>
      <c r="O45" s="126"/>
    </row>
    <row r="46" spans="1:15" ht="41.25" customHeight="1" thickBot="1">
      <c r="A46" s="127"/>
      <c r="B46" s="98" t="s">
        <v>921</v>
      </c>
      <c r="C46" s="153"/>
      <c r="D46" s="143"/>
      <c r="E46" s="153"/>
      <c r="F46" s="153"/>
      <c r="G46" s="153"/>
      <c r="H46" s="150"/>
      <c r="I46" s="145"/>
      <c r="J46" s="145"/>
      <c r="K46" s="145"/>
      <c r="L46" s="161"/>
      <c r="M46" s="192"/>
      <c r="N46" s="192"/>
      <c r="O46" s="126"/>
    </row>
    <row r="47" spans="1:15" ht="30.75" thickBot="1">
      <c r="A47" s="127"/>
      <c r="B47" s="85" t="s">
        <v>922</v>
      </c>
      <c r="C47" s="131"/>
      <c r="D47" s="108"/>
      <c r="E47" s="131"/>
      <c r="F47" s="131"/>
      <c r="G47" s="131"/>
      <c r="H47" s="149"/>
      <c r="I47" s="146"/>
      <c r="J47" s="146"/>
      <c r="K47" s="146"/>
      <c r="L47" s="161"/>
      <c r="M47" s="192"/>
      <c r="N47" s="192"/>
      <c r="O47" s="126"/>
    </row>
    <row r="48" ht="15">
      <c r="O48" s="62"/>
    </row>
    <row r="49" ht="15">
      <c r="O49" s="62"/>
    </row>
    <row r="50" ht="15">
      <c r="O50" s="62"/>
    </row>
    <row r="51" ht="15">
      <c r="O51" s="62"/>
    </row>
    <row r="52" ht="15">
      <c r="O52" s="62"/>
    </row>
    <row r="53" ht="15">
      <c r="O53" s="62"/>
    </row>
    <row r="54" ht="15">
      <c r="O54" s="62"/>
    </row>
    <row r="55" ht="15">
      <c r="O55" s="62"/>
    </row>
    <row r="56" ht="15">
      <c r="O56" s="62"/>
    </row>
    <row r="57" ht="15">
      <c r="O57" s="62"/>
    </row>
    <row r="58" ht="15">
      <c r="O58" s="62"/>
    </row>
    <row r="59" ht="15">
      <c r="O59" s="62"/>
    </row>
    <row r="60" ht="15">
      <c r="O60" s="62"/>
    </row>
    <row r="61" ht="15">
      <c r="O61" s="62"/>
    </row>
    <row r="62" ht="15">
      <c r="O62" s="62"/>
    </row>
    <row r="63" ht="15">
      <c r="O63" s="62"/>
    </row>
    <row r="64" ht="15">
      <c r="O64" s="62"/>
    </row>
    <row r="65" ht="15">
      <c r="O65" s="62"/>
    </row>
    <row r="66" ht="15">
      <c r="O66" s="62"/>
    </row>
    <row r="67" ht="15">
      <c r="O67" s="62"/>
    </row>
    <row r="68" ht="15">
      <c r="O68" s="62"/>
    </row>
    <row r="69" ht="15">
      <c r="O69" s="62"/>
    </row>
    <row r="70" ht="15">
      <c r="O70" s="62"/>
    </row>
    <row r="71" ht="15">
      <c r="O71" s="62"/>
    </row>
    <row r="72" ht="15">
      <c r="O72" s="62"/>
    </row>
    <row r="73" ht="15">
      <c r="O73" s="62"/>
    </row>
    <row r="74" ht="15">
      <c r="O74" s="62"/>
    </row>
    <row r="75" ht="15">
      <c r="O75" s="62"/>
    </row>
    <row r="76" ht="15">
      <c r="O76" s="62"/>
    </row>
    <row r="77" ht="15">
      <c r="O77" s="62"/>
    </row>
  </sheetData>
  <sheetProtection/>
  <mergeCells count="156">
    <mergeCell ref="A43:A44"/>
    <mergeCell ref="A45:A47"/>
    <mergeCell ref="A21:A26"/>
    <mergeCell ref="A27:A32"/>
    <mergeCell ref="A33:A36"/>
    <mergeCell ref="A37:A38"/>
    <mergeCell ref="A39:A40"/>
    <mergeCell ref="A41:A42"/>
    <mergeCell ref="L39:L40"/>
    <mergeCell ref="L41:L42"/>
    <mergeCell ref="L43:L44"/>
    <mergeCell ref="L45:L47"/>
    <mergeCell ref="A1:B1"/>
    <mergeCell ref="A3:A5"/>
    <mergeCell ref="A6:A7"/>
    <mergeCell ref="A8:A10"/>
    <mergeCell ref="A11:A16"/>
    <mergeCell ref="A17:A19"/>
    <mergeCell ref="L17:L19"/>
    <mergeCell ref="L21:L26"/>
    <mergeCell ref="L27:L32"/>
    <mergeCell ref="L33:L36"/>
    <mergeCell ref="L37:L38"/>
    <mergeCell ref="L3:L5"/>
    <mergeCell ref="M3:M5"/>
    <mergeCell ref="N3:N5"/>
    <mergeCell ref="L6:L7"/>
    <mergeCell ref="L8:L10"/>
    <mergeCell ref="L11:L16"/>
    <mergeCell ref="B3:B5"/>
    <mergeCell ref="C3:C5"/>
    <mergeCell ref="D3:E3"/>
    <mergeCell ref="F3:G3"/>
    <mergeCell ref="E4:E5"/>
    <mergeCell ref="F4:F5"/>
    <mergeCell ref="G4:G5"/>
    <mergeCell ref="C6:C7"/>
    <mergeCell ref="D6:D7"/>
    <mergeCell ref="E6:E7"/>
    <mergeCell ref="F6:F7"/>
    <mergeCell ref="G6:G7"/>
    <mergeCell ref="C8:C10"/>
    <mergeCell ref="F8:F10"/>
    <mergeCell ref="G8:G10"/>
    <mergeCell ref="C11:C16"/>
    <mergeCell ref="C17:C19"/>
    <mergeCell ref="C21:C26"/>
    <mergeCell ref="C45:C47"/>
    <mergeCell ref="C27:C32"/>
    <mergeCell ref="C33:C36"/>
    <mergeCell ref="D33:D36"/>
    <mergeCell ref="E33:E36"/>
    <mergeCell ref="C37:C38"/>
    <mergeCell ref="D37:D38"/>
    <mergeCell ref="E37:E38"/>
    <mergeCell ref="H45:H47"/>
    <mergeCell ref="C39:C40"/>
    <mergeCell ref="D39:D40"/>
    <mergeCell ref="E39:E40"/>
    <mergeCell ref="G45:G47"/>
    <mergeCell ref="C41:C42"/>
    <mergeCell ref="C43:C44"/>
    <mergeCell ref="D43:D44"/>
    <mergeCell ref="E43:E44"/>
    <mergeCell ref="F43:F44"/>
    <mergeCell ref="H43:H44"/>
    <mergeCell ref="D45:D47"/>
    <mergeCell ref="E45:E47"/>
    <mergeCell ref="F45:F47"/>
    <mergeCell ref="H3:H5"/>
    <mergeCell ref="H6:H7"/>
    <mergeCell ref="H8:H10"/>
    <mergeCell ref="H11:H16"/>
    <mergeCell ref="H17:H19"/>
    <mergeCell ref="H21:H26"/>
    <mergeCell ref="H27:H32"/>
    <mergeCell ref="H33:H36"/>
    <mergeCell ref="H37:H38"/>
    <mergeCell ref="H39:H40"/>
    <mergeCell ref="H41:H42"/>
    <mergeCell ref="I13:I14"/>
    <mergeCell ref="I15:I16"/>
    <mergeCell ref="J15:J16"/>
    <mergeCell ref="K15:K16"/>
    <mergeCell ref="I3:K4"/>
    <mergeCell ref="I6:I7"/>
    <mergeCell ref="J6:J7"/>
    <mergeCell ref="K6:K7"/>
    <mergeCell ref="K8:K10"/>
    <mergeCell ref="J8:J10"/>
    <mergeCell ref="I8:I10"/>
    <mergeCell ref="K37:K38"/>
    <mergeCell ref="J37:J38"/>
    <mergeCell ref="I37:I38"/>
    <mergeCell ref="I21:I26"/>
    <mergeCell ref="J21:J26"/>
    <mergeCell ref="K21:K26"/>
    <mergeCell ref="K27:K32"/>
    <mergeCell ref="J27:J32"/>
    <mergeCell ref="I27:I32"/>
    <mergeCell ref="K45:K47"/>
    <mergeCell ref="J45:J47"/>
    <mergeCell ref="I45:I47"/>
    <mergeCell ref="I39:I40"/>
    <mergeCell ref="J39:J40"/>
    <mergeCell ref="K39:K40"/>
    <mergeCell ref="K41:K42"/>
    <mergeCell ref="J41:J42"/>
    <mergeCell ref="I41:I42"/>
    <mergeCell ref="M6:M7"/>
    <mergeCell ref="N6:N7"/>
    <mergeCell ref="M8:M10"/>
    <mergeCell ref="N8:N10"/>
    <mergeCell ref="I43:I44"/>
    <mergeCell ref="J43:J44"/>
    <mergeCell ref="K43:K44"/>
    <mergeCell ref="I33:I36"/>
    <mergeCell ref="J33:J36"/>
    <mergeCell ref="K33:K36"/>
    <mergeCell ref="M11:M16"/>
    <mergeCell ref="N17:N19"/>
    <mergeCell ref="M17:M19"/>
    <mergeCell ref="M21:M26"/>
    <mergeCell ref="N21:N26"/>
    <mergeCell ref="I11:I12"/>
    <mergeCell ref="J11:J12"/>
    <mergeCell ref="K11:K12"/>
    <mergeCell ref="K13:K14"/>
    <mergeCell ref="J13:J14"/>
    <mergeCell ref="N27:N32"/>
    <mergeCell ref="M27:M32"/>
    <mergeCell ref="M33:M36"/>
    <mergeCell ref="N33:N36"/>
    <mergeCell ref="N37:N38"/>
    <mergeCell ref="M37:M38"/>
    <mergeCell ref="M45:M47"/>
    <mergeCell ref="N45:N47"/>
    <mergeCell ref="M39:M40"/>
    <mergeCell ref="N39:N40"/>
    <mergeCell ref="N41:N42"/>
    <mergeCell ref="M41:M42"/>
    <mergeCell ref="N43:N44"/>
    <mergeCell ref="M43:M44"/>
    <mergeCell ref="O6:O7"/>
    <mergeCell ref="O8:O10"/>
    <mergeCell ref="O21:O26"/>
    <mergeCell ref="O27:O32"/>
    <mergeCell ref="O11:O12"/>
    <mergeCell ref="O13:O14"/>
    <mergeCell ref="O15:O16"/>
    <mergeCell ref="O33:O36"/>
    <mergeCell ref="O37:O38"/>
    <mergeCell ref="O39:O40"/>
    <mergeCell ref="O41:O42"/>
    <mergeCell ref="O43:O44"/>
    <mergeCell ref="O45:O47"/>
  </mergeCells>
  <printOptions/>
  <pageMargins left="0.7" right="0.7" top="0.75" bottom="0.75" header="0.3" footer="0.3"/>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tabColor theme="4"/>
  </sheetPr>
  <dimension ref="A1:O12"/>
  <sheetViews>
    <sheetView zoomScalePageLayoutView="0" workbookViewId="0" topLeftCell="A1">
      <selection activeCell="K18" sqref="K18"/>
    </sheetView>
  </sheetViews>
  <sheetFormatPr defaultColWidth="8.8515625" defaultRowHeight="15"/>
  <cols>
    <col min="1" max="1" width="8.8515625" style="3" customWidth="1"/>
    <col min="2" max="2" width="19.57421875" style="3" customWidth="1"/>
    <col min="3" max="7" width="8.8515625" style="3" customWidth="1"/>
    <col min="8" max="8" width="11.28125" style="3" bestFit="1" customWidth="1"/>
    <col min="9" max="11" width="14.140625" style="3" customWidth="1"/>
    <col min="12" max="12" width="8.8515625" style="3" customWidth="1"/>
    <col min="13" max="13" width="9.57421875" style="3" bestFit="1" customWidth="1"/>
    <col min="14" max="14" width="11.00390625" style="3" bestFit="1" customWidth="1"/>
    <col min="15" max="16384" width="8.8515625" style="3" customWidth="1"/>
  </cols>
  <sheetData>
    <row r="1" spans="1:2" ht="15">
      <c r="A1" s="217" t="s">
        <v>923</v>
      </c>
      <c r="B1" s="217"/>
    </row>
    <row r="2" ht="15.75" thickBot="1">
      <c r="B2" s="9"/>
    </row>
    <row r="3" spans="1:14" ht="15.75" thickBot="1">
      <c r="A3" s="104" t="s">
        <v>1583</v>
      </c>
      <c r="B3" s="100" t="s">
        <v>1</v>
      </c>
      <c r="C3" s="100" t="s">
        <v>2</v>
      </c>
      <c r="D3" s="110" t="s">
        <v>144</v>
      </c>
      <c r="E3" s="112"/>
      <c r="F3" s="110" t="s">
        <v>79</v>
      </c>
      <c r="G3" s="112"/>
      <c r="H3" s="195" t="s">
        <v>1334</v>
      </c>
      <c r="I3" s="102" t="s">
        <v>1576</v>
      </c>
      <c r="J3" s="102"/>
      <c r="K3" s="102"/>
      <c r="L3" s="147"/>
      <c r="M3" s="181"/>
      <c r="N3" s="181"/>
    </row>
    <row r="4" spans="1:14" ht="45.75" thickBot="1">
      <c r="A4" s="104"/>
      <c r="B4" s="109"/>
      <c r="C4" s="109"/>
      <c r="D4" s="10" t="s">
        <v>751</v>
      </c>
      <c r="E4" s="100" t="s">
        <v>5</v>
      </c>
      <c r="F4" s="100" t="s">
        <v>146</v>
      </c>
      <c r="G4" s="100" t="s">
        <v>84</v>
      </c>
      <c r="H4" s="195"/>
      <c r="I4" s="102"/>
      <c r="J4" s="102"/>
      <c r="K4" s="102"/>
      <c r="L4" s="147"/>
      <c r="M4" s="181"/>
      <c r="N4" s="181"/>
    </row>
    <row r="5" spans="1:14" ht="15.75" thickBot="1">
      <c r="A5" s="104"/>
      <c r="B5" s="101"/>
      <c r="C5" s="101"/>
      <c r="D5" s="11" t="s">
        <v>4</v>
      </c>
      <c r="E5" s="101"/>
      <c r="F5" s="101"/>
      <c r="G5" s="101"/>
      <c r="H5" s="195"/>
      <c r="I5" s="40" t="s">
        <v>1577</v>
      </c>
      <c r="J5" s="40" t="s">
        <v>1578</v>
      </c>
      <c r="K5" s="40" t="s">
        <v>1579</v>
      </c>
      <c r="L5" s="147"/>
      <c r="M5" s="181"/>
      <c r="N5" s="181"/>
    </row>
    <row r="6" spans="1:15" ht="45.75" thickBot="1">
      <c r="A6" s="104" t="s">
        <v>1584</v>
      </c>
      <c r="B6" s="14" t="s">
        <v>924</v>
      </c>
      <c r="C6" s="100" t="s">
        <v>157</v>
      </c>
      <c r="D6" s="10" t="s">
        <v>492</v>
      </c>
      <c r="E6" s="10" t="s">
        <v>926</v>
      </c>
      <c r="F6" s="100" t="s">
        <v>927</v>
      </c>
      <c r="G6" s="10" t="s">
        <v>928</v>
      </c>
      <c r="H6" s="114" t="s">
        <v>1535</v>
      </c>
      <c r="I6" s="144">
        <f>18500*0.7*0.00336</f>
        <v>43.512</v>
      </c>
      <c r="J6" s="144">
        <f>18500*0.3*0.00336</f>
        <v>18.648</v>
      </c>
      <c r="K6" s="144">
        <v>0</v>
      </c>
      <c r="L6" s="147"/>
      <c r="M6" s="125"/>
      <c r="N6" s="125"/>
      <c r="O6" s="117"/>
    </row>
    <row r="7" spans="1:15" ht="60.75" thickBot="1">
      <c r="A7" s="104"/>
      <c r="B7" s="17" t="s">
        <v>925</v>
      </c>
      <c r="C7" s="101"/>
      <c r="D7" s="11" t="s">
        <v>284</v>
      </c>
      <c r="E7" s="11" t="s">
        <v>9</v>
      </c>
      <c r="F7" s="101"/>
      <c r="G7" s="11" t="s">
        <v>929</v>
      </c>
      <c r="H7" s="115"/>
      <c r="I7" s="146"/>
      <c r="J7" s="146"/>
      <c r="K7" s="146"/>
      <c r="L7" s="147"/>
      <c r="M7" s="125"/>
      <c r="N7" s="125"/>
      <c r="O7" s="117"/>
    </row>
    <row r="8" spans="1:15" ht="45.75" thickBot="1">
      <c r="A8" s="104" t="s">
        <v>1585</v>
      </c>
      <c r="B8" s="14" t="s">
        <v>930</v>
      </c>
      <c r="C8" s="100" t="s">
        <v>157</v>
      </c>
      <c r="D8" s="10" t="s">
        <v>135</v>
      </c>
      <c r="E8" s="10" t="s">
        <v>926</v>
      </c>
      <c r="F8" s="100" t="s">
        <v>934</v>
      </c>
      <c r="G8" s="10" t="s">
        <v>928</v>
      </c>
      <c r="H8" s="114" t="s">
        <v>1536</v>
      </c>
      <c r="I8" s="144">
        <f>7800*0.7*0.00336</f>
        <v>18.3456</v>
      </c>
      <c r="J8" s="144">
        <f>7800*0.3*0.00336</f>
        <v>7.8624</v>
      </c>
      <c r="K8" s="144">
        <v>0</v>
      </c>
      <c r="L8" s="147"/>
      <c r="M8" s="125"/>
      <c r="N8" s="125"/>
      <c r="O8" s="117"/>
    </row>
    <row r="9" spans="1:15" ht="60.75" thickBot="1">
      <c r="A9" s="104"/>
      <c r="B9" s="15" t="s">
        <v>931</v>
      </c>
      <c r="C9" s="109"/>
      <c r="D9" s="16" t="s">
        <v>933</v>
      </c>
      <c r="E9" s="16" t="s">
        <v>9</v>
      </c>
      <c r="F9" s="109"/>
      <c r="G9" s="16" t="s">
        <v>935</v>
      </c>
      <c r="H9" s="116"/>
      <c r="I9" s="145"/>
      <c r="J9" s="145"/>
      <c r="K9" s="145"/>
      <c r="L9" s="147"/>
      <c r="M9" s="125"/>
      <c r="N9" s="125"/>
      <c r="O9" s="117"/>
    </row>
    <row r="10" spans="1:15" ht="30.75" thickBot="1">
      <c r="A10" s="104"/>
      <c r="B10" s="17" t="s">
        <v>932</v>
      </c>
      <c r="C10" s="101"/>
      <c r="D10" s="11"/>
      <c r="E10" s="11"/>
      <c r="F10" s="101"/>
      <c r="G10" s="11"/>
      <c r="H10" s="115"/>
      <c r="I10" s="146"/>
      <c r="J10" s="146"/>
      <c r="K10" s="146"/>
      <c r="L10" s="147"/>
      <c r="M10" s="125"/>
      <c r="N10" s="125"/>
      <c r="O10" s="117"/>
    </row>
    <row r="11" spans="1:15" ht="45.75" thickBot="1">
      <c r="A11" s="104" t="s">
        <v>1586</v>
      </c>
      <c r="B11" s="14" t="s">
        <v>936</v>
      </c>
      <c r="C11" s="100" t="s">
        <v>7</v>
      </c>
      <c r="D11" s="10" t="s">
        <v>938</v>
      </c>
      <c r="E11" s="10" t="s">
        <v>926</v>
      </c>
      <c r="F11" s="100" t="s">
        <v>214</v>
      </c>
      <c r="G11" s="10" t="s">
        <v>928</v>
      </c>
      <c r="H11" s="114" t="s">
        <v>1537</v>
      </c>
      <c r="I11" s="144">
        <f>12500*0.7*0.00336</f>
        <v>29.400000000000002</v>
      </c>
      <c r="J11" s="144">
        <f>12500*0.3*0.00336</f>
        <v>12.6</v>
      </c>
      <c r="K11" s="144">
        <v>0</v>
      </c>
      <c r="L11" s="147"/>
      <c r="M11" s="125"/>
      <c r="N11" s="125"/>
      <c r="O11" s="117"/>
    </row>
    <row r="12" spans="1:15" ht="45.75" thickBot="1">
      <c r="A12" s="104"/>
      <c r="B12" s="17" t="s">
        <v>937</v>
      </c>
      <c r="C12" s="101"/>
      <c r="D12" s="11" t="s">
        <v>939</v>
      </c>
      <c r="E12" s="11" t="s">
        <v>9</v>
      </c>
      <c r="F12" s="101"/>
      <c r="G12" s="11" t="s">
        <v>940</v>
      </c>
      <c r="H12" s="115"/>
      <c r="I12" s="146"/>
      <c r="J12" s="146"/>
      <c r="K12" s="146"/>
      <c r="L12" s="147"/>
      <c r="M12" s="125"/>
      <c r="N12" s="125"/>
      <c r="O12" s="117"/>
    </row>
  </sheetData>
  <sheetProtection/>
  <mergeCells count="47">
    <mergeCell ref="A1:B1"/>
    <mergeCell ref="A3:A5"/>
    <mergeCell ref="A6:A7"/>
    <mergeCell ref="A8:A10"/>
    <mergeCell ref="A11:A12"/>
    <mergeCell ref="L3:L5"/>
    <mergeCell ref="G4:G5"/>
    <mergeCell ref="H3:H5"/>
    <mergeCell ref="H6:H7"/>
    <mergeCell ref="H8:H10"/>
    <mergeCell ref="M3:M5"/>
    <mergeCell ref="N3:N5"/>
    <mergeCell ref="L6:L7"/>
    <mergeCell ref="L8:L10"/>
    <mergeCell ref="B3:B5"/>
    <mergeCell ref="C3:C5"/>
    <mergeCell ref="D3:E3"/>
    <mergeCell ref="F3:G3"/>
    <mergeCell ref="E4:E5"/>
    <mergeCell ref="F4:F5"/>
    <mergeCell ref="H11:H12"/>
    <mergeCell ref="C6:C7"/>
    <mergeCell ref="F6:F7"/>
    <mergeCell ref="C8:C10"/>
    <mergeCell ref="F8:F10"/>
    <mergeCell ref="C11:C12"/>
    <mergeCell ref="F11:F12"/>
    <mergeCell ref="N8:N10"/>
    <mergeCell ref="M8:M10"/>
    <mergeCell ref="L11:L12"/>
    <mergeCell ref="I3:K4"/>
    <mergeCell ref="I6:I7"/>
    <mergeCell ref="J6:J7"/>
    <mergeCell ref="K6:K7"/>
    <mergeCell ref="K8:K10"/>
    <mergeCell ref="J8:J10"/>
    <mergeCell ref="I8:I10"/>
    <mergeCell ref="O6:O7"/>
    <mergeCell ref="O8:O10"/>
    <mergeCell ref="O11:O12"/>
    <mergeCell ref="M6:M7"/>
    <mergeCell ref="N6:N7"/>
    <mergeCell ref="I11:I12"/>
    <mergeCell ref="J11:J12"/>
    <mergeCell ref="K11:K12"/>
    <mergeCell ref="M11:M12"/>
    <mergeCell ref="N11:N1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theme="4"/>
  </sheetPr>
  <dimension ref="A1:Q13"/>
  <sheetViews>
    <sheetView zoomScalePageLayoutView="0" workbookViewId="0" topLeftCell="A1">
      <selection activeCell="N1" sqref="N1:S14"/>
    </sheetView>
  </sheetViews>
  <sheetFormatPr defaultColWidth="8.8515625" defaultRowHeight="15"/>
  <cols>
    <col min="1" max="1" width="8.8515625" style="3" customWidth="1"/>
    <col min="2" max="2" width="16.8515625" style="3" customWidth="1"/>
    <col min="3" max="3" width="9.7109375" style="3" customWidth="1"/>
    <col min="4" max="9" width="8.8515625" style="3" customWidth="1"/>
    <col min="10" max="10" width="11.28125" style="3" bestFit="1" customWidth="1"/>
    <col min="11" max="13" width="14.140625" style="3" customWidth="1"/>
    <col min="14" max="14" width="8.8515625" style="3" customWidth="1"/>
    <col min="15" max="15" width="9.57421875" style="3" bestFit="1" customWidth="1"/>
    <col min="16" max="16" width="11.00390625" style="3" bestFit="1" customWidth="1"/>
    <col min="17" max="16384" width="8.8515625" style="3" customWidth="1"/>
  </cols>
  <sheetData>
    <row r="1" spans="1:2" ht="15">
      <c r="A1" s="217" t="s">
        <v>941</v>
      </c>
      <c r="B1" s="217"/>
    </row>
    <row r="2" ht="15.75" thickBot="1">
      <c r="B2" s="9"/>
    </row>
    <row r="3" spans="1:16" ht="15" customHeight="1" thickBot="1">
      <c r="A3" s="104" t="s">
        <v>1583</v>
      </c>
      <c r="B3" s="119" t="s">
        <v>1</v>
      </c>
      <c r="C3" s="177"/>
      <c r="D3" s="100" t="s">
        <v>2</v>
      </c>
      <c r="E3" s="110" t="s">
        <v>144</v>
      </c>
      <c r="F3" s="111"/>
      <c r="G3" s="112"/>
      <c r="H3" s="110" t="s">
        <v>79</v>
      </c>
      <c r="I3" s="111"/>
      <c r="J3" s="195" t="s">
        <v>1334</v>
      </c>
      <c r="K3" s="102" t="s">
        <v>1576</v>
      </c>
      <c r="L3" s="102"/>
      <c r="M3" s="102"/>
      <c r="N3" s="147"/>
      <c r="O3" s="181"/>
      <c r="P3" s="181"/>
    </row>
    <row r="4" spans="1:16" ht="15.75" thickBot="1">
      <c r="A4" s="104"/>
      <c r="B4" s="120"/>
      <c r="C4" s="178"/>
      <c r="D4" s="109"/>
      <c r="E4" s="10" t="s">
        <v>942</v>
      </c>
      <c r="F4" s="10" t="s">
        <v>449</v>
      </c>
      <c r="G4" s="100" t="s">
        <v>5</v>
      </c>
      <c r="H4" s="100" t="s">
        <v>146</v>
      </c>
      <c r="I4" s="100" t="s">
        <v>84</v>
      </c>
      <c r="J4" s="195"/>
      <c r="K4" s="102"/>
      <c r="L4" s="102"/>
      <c r="M4" s="102"/>
      <c r="N4" s="147"/>
      <c r="O4" s="181"/>
      <c r="P4" s="181"/>
    </row>
    <row r="5" spans="1:16" ht="15.75" thickBot="1">
      <c r="A5" s="104"/>
      <c r="B5" s="120"/>
      <c r="C5" s="178"/>
      <c r="D5" s="109"/>
      <c r="E5" s="11" t="s">
        <v>943</v>
      </c>
      <c r="F5" s="11" t="s">
        <v>943</v>
      </c>
      <c r="G5" s="109"/>
      <c r="H5" s="109"/>
      <c r="I5" s="109"/>
      <c r="J5" s="195"/>
      <c r="K5" s="102"/>
      <c r="L5" s="102"/>
      <c r="M5" s="102"/>
      <c r="N5" s="147"/>
      <c r="O5" s="181"/>
      <c r="P5" s="181"/>
    </row>
    <row r="6" spans="1:16" ht="27" customHeight="1" thickBot="1">
      <c r="A6" s="104"/>
      <c r="B6" s="179"/>
      <c r="C6" s="180"/>
      <c r="D6" s="101"/>
      <c r="E6" s="110" t="s">
        <v>515</v>
      </c>
      <c r="F6" s="112"/>
      <c r="G6" s="101"/>
      <c r="H6" s="101"/>
      <c r="I6" s="101"/>
      <c r="J6" s="195"/>
      <c r="K6" s="48" t="s">
        <v>1577</v>
      </c>
      <c r="L6" s="48" t="s">
        <v>1578</v>
      </c>
      <c r="M6" s="48" t="s">
        <v>1579</v>
      </c>
      <c r="N6" s="147"/>
      <c r="O6" s="181"/>
      <c r="P6" s="181"/>
    </row>
    <row r="7" spans="1:17" ht="30.75" thickBot="1">
      <c r="A7" s="49" t="s">
        <v>1584</v>
      </c>
      <c r="B7" s="218" t="s">
        <v>944</v>
      </c>
      <c r="C7" s="219"/>
      <c r="D7" s="13" t="s">
        <v>1086</v>
      </c>
      <c r="E7" s="13" t="s">
        <v>112</v>
      </c>
      <c r="F7" s="13" t="s">
        <v>945</v>
      </c>
      <c r="G7" s="13" t="s">
        <v>946</v>
      </c>
      <c r="H7" s="13" t="s">
        <v>1152</v>
      </c>
      <c r="I7" s="13" t="s">
        <v>947</v>
      </c>
      <c r="J7" s="34" t="s">
        <v>1538</v>
      </c>
      <c r="K7" s="95">
        <f>4600*0.7*0.00336</f>
        <v>10.8192</v>
      </c>
      <c r="L7" s="95">
        <f>4600*0.3*0.00336</f>
        <v>4.6368</v>
      </c>
      <c r="M7" s="95">
        <v>0</v>
      </c>
      <c r="Q7" s="54"/>
    </row>
    <row r="8" spans="1:17" ht="15.75" thickBot="1">
      <c r="A8" s="104" t="s">
        <v>1585</v>
      </c>
      <c r="B8" s="213" t="s">
        <v>948</v>
      </c>
      <c r="C8" s="203"/>
      <c r="D8" s="100" t="s">
        <v>1086</v>
      </c>
      <c r="E8" s="100" t="s">
        <v>94</v>
      </c>
      <c r="F8" s="100" t="s">
        <v>950</v>
      </c>
      <c r="G8" s="100" t="s">
        <v>946</v>
      </c>
      <c r="H8" s="100" t="s">
        <v>1152</v>
      </c>
      <c r="I8" s="100" t="s">
        <v>951</v>
      </c>
      <c r="J8" s="114" t="s">
        <v>1539</v>
      </c>
      <c r="K8" s="144">
        <f>15500*0.7*0.00336</f>
        <v>36.456</v>
      </c>
      <c r="L8" s="144">
        <f>15500*0.3*0.00336</f>
        <v>15.624</v>
      </c>
      <c r="M8" s="144">
        <v>0</v>
      </c>
      <c r="N8" s="147"/>
      <c r="O8" s="125"/>
      <c r="P8" s="125"/>
      <c r="Q8" s="117"/>
    </row>
    <row r="9" spans="1:17" ht="27" customHeight="1" thickBot="1">
      <c r="A9" s="104"/>
      <c r="B9" s="215" t="s">
        <v>949</v>
      </c>
      <c r="C9" s="204"/>
      <c r="D9" s="101"/>
      <c r="E9" s="101"/>
      <c r="F9" s="101"/>
      <c r="G9" s="101"/>
      <c r="H9" s="101"/>
      <c r="I9" s="101"/>
      <c r="J9" s="115"/>
      <c r="K9" s="146"/>
      <c r="L9" s="146"/>
      <c r="M9" s="146"/>
      <c r="N9" s="147"/>
      <c r="O9" s="125"/>
      <c r="P9" s="125"/>
      <c r="Q9" s="117"/>
    </row>
    <row r="10" spans="1:17" ht="30.75" thickBot="1">
      <c r="A10" s="104" t="s">
        <v>1586</v>
      </c>
      <c r="B10" s="213" t="s">
        <v>952</v>
      </c>
      <c r="C10" s="203"/>
      <c r="D10" s="100" t="s">
        <v>1086</v>
      </c>
      <c r="E10" s="100" t="s">
        <v>13</v>
      </c>
      <c r="F10" s="107">
        <v>1.24</v>
      </c>
      <c r="G10" s="100" t="s">
        <v>946</v>
      </c>
      <c r="H10" s="100" t="s">
        <v>1153</v>
      </c>
      <c r="I10" s="10" t="s">
        <v>953</v>
      </c>
      <c r="J10" s="114" t="s">
        <v>1540</v>
      </c>
      <c r="K10" s="144">
        <f>15500*0.7*0.00336</f>
        <v>36.456</v>
      </c>
      <c r="L10" s="144">
        <f>15500*0.3*0.00336</f>
        <v>15.624</v>
      </c>
      <c r="M10" s="144">
        <v>0</v>
      </c>
      <c r="N10" s="147"/>
      <c r="O10" s="125"/>
      <c r="P10" s="125"/>
      <c r="Q10" s="117"/>
    </row>
    <row r="11" spans="1:17" ht="30.75" thickBot="1">
      <c r="A11" s="104"/>
      <c r="B11" s="215"/>
      <c r="C11" s="204"/>
      <c r="D11" s="101"/>
      <c r="E11" s="101"/>
      <c r="F11" s="108"/>
      <c r="G11" s="101"/>
      <c r="H11" s="101"/>
      <c r="I11" s="11" t="s">
        <v>954</v>
      </c>
      <c r="J11" s="115"/>
      <c r="K11" s="146"/>
      <c r="L11" s="146"/>
      <c r="M11" s="146"/>
      <c r="N11" s="147"/>
      <c r="O11" s="125"/>
      <c r="P11" s="125"/>
      <c r="Q11" s="117"/>
    </row>
    <row r="12" spans="1:17" ht="30.75" thickBot="1">
      <c r="A12" s="49" t="s">
        <v>1587</v>
      </c>
      <c r="B12" s="14" t="s">
        <v>955</v>
      </c>
      <c r="C12" s="12" t="s">
        <v>957</v>
      </c>
      <c r="D12" s="13" t="s">
        <v>1086</v>
      </c>
      <c r="E12" s="110" t="s">
        <v>958</v>
      </c>
      <c r="F12" s="112"/>
      <c r="G12" s="13" t="s">
        <v>946</v>
      </c>
      <c r="H12" s="13" t="s">
        <v>1154</v>
      </c>
      <c r="I12" s="13" t="s">
        <v>959</v>
      </c>
      <c r="J12" s="34" t="s">
        <v>1541</v>
      </c>
      <c r="K12" s="95">
        <f>31000*0.7*0.00336</f>
        <v>72.912</v>
      </c>
      <c r="L12" s="95">
        <f>31000*0.3*0.00336</f>
        <v>31.248</v>
      </c>
      <c r="M12" s="95">
        <v>0</v>
      </c>
      <c r="Q12" s="54"/>
    </row>
    <row r="13" spans="1:17" ht="30.75" thickBot="1">
      <c r="A13" s="49" t="s">
        <v>1589</v>
      </c>
      <c r="B13" s="17" t="s">
        <v>956</v>
      </c>
      <c r="C13" s="12" t="s">
        <v>960</v>
      </c>
      <c r="D13" s="13" t="s">
        <v>1086</v>
      </c>
      <c r="E13" s="110" t="s">
        <v>961</v>
      </c>
      <c r="F13" s="112"/>
      <c r="G13" s="13" t="s">
        <v>946</v>
      </c>
      <c r="H13" s="13" t="s">
        <v>1155</v>
      </c>
      <c r="I13" s="13" t="s">
        <v>959</v>
      </c>
      <c r="J13" s="34" t="s">
        <v>1542</v>
      </c>
      <c r="K13" s="95">
        <f>16500*0.7*0.00336</f>
        <v>38.808</v>
      </c>
      <c r="L13" s="95">
        <f>16500*0.3*0.00336</f>
        <v>16.632</v>
      </c>
      <c r="M13" s="95">
        <v>0</v>
      </c>
      <c r="Q13" s="54"/>
    </row>
  </sheetData>
  <sheetProtection/>
  <mergeCells count="50">
    <mergeCell ref="N10:N11"/>
    <mergeCell ref="A1:B1"/>
    <mergeCell ref="A3:A6"/>
    <mergeCell ref="A8:A9"/>
    <mergeCell ref="A10:A11"/>
    <mergeCell ref="L10:L11"/>
    <mergeCell ref="K10:K11"/>
    <mergeCell ref="B8:C8"/>
    <mergeCell ref="B9:C9"/>
    <mergeCell ref="D8:D9"/>
    <mergeCell ref="B7:C7"/>
    <mergeCell ref="O3:O6"/>
    <mergeCell ref="P3:P6"/>
    <mergeCell ref="N3:N6"/>
    <mergeCell ref="N8:N9"/>
    <mergeCell ref="O8:O9"/>
    <mergeCell ref="P8:P9"/>
    <mergeCell ref="B3:C6"/>
    <mergeCell ref="D3:D6"/>
    <mergeCell ref="E3:G3"/>
    <mergeCell ref="G4:G6"/>
    <mergeCell ref="H4:H6"/>
    <mergeCell ref="I4:I6"/>
    <mergeCell ref="E6:F6"/>
    <mergeCell ref="E8:E9"/>
    <mergeCell ref="F8:F9"/>
    <mergeCell ref="E13:F13"/>
    <mergeCell ref="G8:G9"/>
    <mergeCell ref="H8:H9"/>
    <mergeCell ref="I8:I9"/>
    <mergeCell ref="E12:F12"/>
    <mergeCell ref="K8:K9"/>
    <mergeCell ref="L8:L9"/>
    <mergeCell ref="M8:M9"/>
    <mergeCell ref="M10:M11"/>
    <mergeCell ref="B10:C11"/>
    <mergeCell ref="D10:D11"/>
    <mergeCell ref="E10:E11"/>
    <mergeCell ref="F10:F11"/>
    <mergeCell ref="G10:G11"/>
    <mergeCell ref="Q8:Q9"/>
    <mergeCell ref="Q10:Q11"/>
    <mergeCell ref="K3:M5"/>
    <mergeCell ref="J3:J6"/>
    <mergeCell ref="H3:I3"/>
    <mergeCell ref="J8:J9"/>
    <mergeCell ref="J10:J11"/>
    <mergeCell ref="H10:H11"/>
    <mergeCell ref="P10:P11"/>
    <mergeCell ref="O10:O1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4"/>
  </sheetPr>
  <dimension ref="A1:O9"/>
  <sheetViews>
    <sheetView zoomScalePageLayoutView="0" workbookViewId="0" topLeftCell="A1">
      <selection activeCell="I17" sqref="I17"/>
    </sheetView>
  </sheetViews>
  <sheetFormatPr defaultColWidth="8.8515625" defaultRowHeight="15"/>
  <cols>
    <col min="1" max="1" width="8.8515625" style="3" customWidth="1"/>
    <col min="2" max="2" width="27.00390625" style="3" customWidth="1"/>
    <col min="3" max="7" width="8.8515625" style="3" customWidth="1"/>
    <col min="8" max="8" width="11.28125" style="36" bestFit="1" customWidth="1"/>
    <col min="9" max="11" width="14.57421875" style="3" customWidth="1"/>
    <col min="12" max="12" width="8.8515625" style="3" customWidth="1"/>
    <col min="13" max="13" width="9.57421875" style="3" bestFit="1" customWidth="1"/>
    <col min="14" max="14" width="11.00390625" style="3" bestFit="1" customWidth="1"/>
    <col min="15" max="16384" width="8.8515625" style="3" customWidth="1"/>
  </cols>
  <sheetData>
    <row r="1" spans="1:2" ht="15">
      <c r="A1" s="217" t="s">
        <v>962</v>
      </c>
      <c r="B1" s="217"/>
    </row>
    <row r="2" ht="15.75" thickBot="1">
      <c r="B2" s="9"/>
    </row>
    <row r="3" spans="1:14" ht="15" customHeight="1" thickBot="1">
      <c r="A3" s="104" t="s">
        <v>1583</v>
      </c>
      <c r="B3" s="100" t="s">
        <v>1</v>
      </c>
      <c r="C3" s="100" t="s">
        <v>2</v>
      </c>
      <c r="D3" s="110" t="s">
        <v>144</v>
      </c>
      <c r="E3" s="112"/>
      <c r="F3" s="110" t="s">
        <v>79</v>
      </c>
      <c r="G3" s="112"/>
      <c r="H3" s="195" t="s">
        <v>1334</v>
      </c>
      <c r="I3" s="134" t="s">
        <v>1576</v>
      </c>
      <c r="J3" s="135"/>
      <c r="K3" s="136"/>
      <c r="L3" s="125"/>
      <c r="M3" s="125"/>
      <c r="N3" s="125"/>
    </row>
    <row r="4" spans="1:14" ht="45.75" thickBot="1">
      <c r="A4" s="104"/>
      <c r="B4" s="109"/>
      <c r="C4" s="109"/>
      <c r="D4" s="10" t="s">
        <v>751</v>
      </c>
      <c r="E4" s="100" t="s">
        <v>5</v>
      </c>
      <c r="F4" s="100" t="s">
        <v>146</v>
      </c>
      <c r="G4" s="100" t="s">
        <v>84</v>
      </c>
      <c r="H4" s="195"/>
      <c r="I4" s="220"/>
      <c r="J4" s="221"/>
      <c r="K4" s="222"/>
      <c r="L4" s="125"/>
      <c r="M4" s="125"/>
      <c r="N4" s="125"/>
    </row>
    <row r="5" spans="1:14" ht="15.75" thickBot="1">
      <c r="A5" s="104"/>
      <c r="B5" s="101"/>
      <c r="C5" s="101"/>
      <c r="D5" s="11" t="s">
        <v>4</v>
      </c>
      <c r="E5" s="101"/>
      <c r="F5" s="101"/>
      <c r="G5" s="101"/>
      <c r="H5" s="195"/>
      <c r="I5" s="51" t="s">
        <v>1577</v>
      </c>
      <c r="J5" s="51" t="s">
        <v>1578</v>
      </c>
      <c r="K5" s="51" t="s">
        <v>1579</v>
      </c>
      <c r="L5" s="125"/>
      <c r="M5" s="125"/>
      <c r="N5" s="125"/>
    </row>
    <row r="6" spans="1:15" ht="45.75" thickBot="1">
      <c r="A6" s="104" t="s">
        <v>1584</v>
      </c>
      <c r="B6" s="14" t="s">
        <v>963</v>
      </c>
      <c r="C6" s="100" t="s">
        <v>7</v>
      </c>
      <c r="D6" s="10" t="s">
        <v>379</v>
      </c>
      <c r="E6" s="10" t="s">
        <v>422</v>
      </c>
      <c r="F6" s="100" t="s">
        <v>214</v>
      </c>
      <c r="G6" s="10" t="s">
        <v>965</v>
      </c>
      <c r="H6" s="100" t="s">
        <v>1543</v>
      </c>
      <c r="I6" s="144">
        <f>148000*0.7*0.00336</f>
        <v>348.096</v>
      </c>
      <c r="J6" s="144">
        <f>144000*0.3*0.00336</f>
        <v>145.15200000000002</v>
      </c>
      <c r="K6" s="144">
        <v>0</v>
      </c>
      <c r="O6" s="117"/>
    </row>
    <row r="7" spans="1:15" ht="45.75" thickBot="1">
      <c r="A7" s="104"/>
      <c r="B7" s="17" t="s">
        <v>964</v>
      </c>
      <c r="C7" s="101"/>
      <c r="D7" s="11" t="s">
        <v>8</v>
      </c>
      <c r="E7" s="11" t="s">
        <v>9</v>
      </c>
      <c r="F7" s="101"/>
      <c r="G7" s="11" t="s">
        <v>966</v>
      </c>
      <c r="H7" s="101"/>
      <c r="I7" s="146"/>
      <c r="J7" s="146"/>
      <c r="K7" s="146"/>
      <c r="O7" s="117"/>
    </row>
    <row r="8" spans="1:15" ht="45.75" thickBot="1">
      <c r="A8" s="104" t="s">
        <v>1585</v>
      </c>
      <c r="B8" s="14" t="s">
        <v>963</v>
      </c>
      <c r="C8" s="100" t="s">
        <v>7</v>
      </c>
      <c r="D8" s="10" t="s">
        <v>968</v>
      </c>
      <c r="E8" s="10" t="s">
        <v>422</v>
      </c>
      <c r="F8" s="100" t="s">
        <v>214</v>
      </c>
      <c r="G8" s="10" t="s">
        <v>965</v>
      </c>
      <c r="H8" s="114" t="s">
        <v>1544</v>
      </c>
      <c r="I8" s="144">
        <f>144000*0.7*0.00336</f>
        <v>338.688</v>
      </c>
      <c r="J8" s="144">
        <f>144000*0.3*0.00336</f>
        <v>145.15200000000002</v>
      </c>
      <c r="K8" s="144">
        <v>0</v>
      </c>
      <c r="O8" s="117"/>
    </row>
    <row r="9" spans="1:15" ht="45.75" thickBot="1">
      <c r="A9" s="104"/>
      <c r="B9" s="17" t="s">
        <v>967</v>
      </c>
      <c r="C9" s="101"/>
      <c r="D9" s="28">
        <v>1.16</v>
      </c>
      <c r="E9" s="11" t="s">
        <v>9</v>
      </c>
      <c r="F9" s="101"/>
      <c r="G9" s="11" t="s">
        <v>966</v>
      </c>
      <c r="H9" s="115"/>
      <c r="I9" s="146"/>
      <c r="J9" s="146"/>
      <c r="K9" s="146"/>
      <c r="O9" s="117"/>
    </row>
  </sheetData>
  <sheetProtection/>
  <mergeCells count="30">
    <mergeCell ref="G4:G5"/>
    <mergeCell ref="H3:H5"/>
    <mergeCell ref="A1:B1"/>
    <mergeCell ref="A3:A5"/>
    <mergeCell ref="A6:A7"/>
    <mergeCell ref="A8:A9"/>
    <mergeCell ref="H6:H7"/>
    <mergeCell ref="H8:H9"/>
    <mergeCell ref="C6:C7"/>
    <mergeCell ref="F6:F7"/>
    <mergeCell ref="C8:C9"/>
    <mergeCell ref="F8:F9"/>
    <mergeCell ref="N3:N5"/>
    <mergeCell ref="M3:M5"/>
    <mergeCell ref="B3:B5"/>
    <mergeCell ref="C3:C5"/>
    <mergeCell ref="D3:E3"/>
    <mergeCell ref="F3:G3"/>
    <mergeCell ref="E4:E5"/>
    <mergeCell ref="F4:F5"/>
    <mergeCell ref="L3:L5"/>
    <mergeCell ref="I3:K4"/>
    <mergeCell ref="O6:O7"/>
    <mergeCell ref="I8:I9"/>
    <mergeCell ref="J8:J9"/>
    <mergeCell ref="K6:K7"/>
    <mergeCell ref="K8:K9"/>
    <mergeCell ref="O8:O9"/>
    <mergeCell ref="I6:I7"/>
    <mergeCell ref="J6:J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4"/>
  </sheetPr>
  <dimension ref="A1:P18"/>
  <sheetViews>
    <sheetView zoomScalePageLayoutView="0" workbookViewId="0" topLeftCell="A1">
      <selection activeCell="U16" sqref="U16"/>
    </sheetView>
  </sheetViews>
  <sheetFormatPr defaultColWidth="8.8515625" defaultRowHeight="15"/>
  <cols>
    <col min="1" max="1" width="8.8515625" style="3" customWidth="1"/>
    <col min="2" max="2" width="26.28125" style="3" customWidth="1"/>
    <col min="3" max="8" width="8.8515625" style="3" customWidth="1"/>
    <col min="9" max="9" width="11.28125" style="35" bestFit="1" customWidth="1"/>
    <col min="10" max="12" width="14.57421875" style="3" customWidth="1"/>
    <col min="13" max="13" width="8.8515625" style="3" customWidth="1"/>
    <col min="14" max="14" width="9.57421875" style="3" bestFit="1" customWidth="1"/>
    <col min="15" max="15" width="11.00390625" style="3" bestFit="1" customWidth="1"/>
    <col min="16" max="16384" width="8.8515625" style="3" customWidth="1"/>
  </cols>
  <sheetData>
    <row r="1" spans="1:2" ht="15">
      <c r="A1" s="217" t="s">
        <v>969</v>
      </c>
      <c r="B1" s="217"/>
    </row>
    <row r="2" ht="15.75" thickBot="1">
      <c r="B2" s="9"/>
    </row>
    <row r="3" spans="1:15" ht="15.75" thickBot="1">
      <c r="A3" s="104" t="s">
        <v>1583</v>
      </c>
      <c r="B3" s="119" t="s">
        <v>1</v>
      </c>
      <c r="C3" s="177"/>
      <c r="D3" s="100" t="s">
        <v>2</v>
      </c>
      <c r="E3" s="110" t="s">
        <v>144</v>
      </c>
      <c r="F3" s="112"/>
      <c r="G3" s="110" t="s">
        <v>79</v>
      </c>
      <c r="H3" s="112"/>
      <c r="I3" s="195" t="s">
        <v>1334</v>
      </c>
      <c r="J3" s="102" t="s">
        <v>1576</v>
      </c>
      <c r="K3" s="102"/>
      <c r="L3" s="102"/>
      <c r="M3" s="147"/>
      <c r="N3" s="181"/>
      <c r="O3" s="181"/>
    </row>
    <row r="4" spans="1:15" ht="30.75" thickBot="1">
      <c r="A4" s="104"/>
      <c r="B4" s="120"/>
      <c r="C4" s="178"/>
      <c r="D4" s="109"/>
      <c r="E4" s="10" t="s">
        <v>471</v>
      </c>
      <c r="F4" s="100" t="s">
        <v>5</v>
      </c>
      <c r="G4" s="100" t="s">
        <v>146</v>
      </c>
      <c r="H4" s="100" t="s">
        <v>84</v>
      </c>
      <c r="I4" s="195"/>
      <c r="J4" s="102"/>
      <c r="K4" s="102"/>
      <c r="L4" s="102"/>
      <c r="M4" s="147"/>
      <c r="N4" s="181"/>
      <c r="O4" s="181"/>
    </row>
    <row r="5" spans="1:15" ht="15.75" thickBot="1">
      <c r="A5" s="104"/>
      <c r="B5" s="179"/>
      <c r="C5" s="180"/>
      <c r="D5" s="101"/>
      <c r="E5" s="11" t="s">
        <v>4</v>
      </c>
      <c r="F5" s="101"/>
      <c r="G5" s="101"/>
      <c r="H5" s="101"/>
      <c r="I5" s="195"/>
      <c r="J5" s="48" t="s">
        <v>1588</v>
      </c>
      <c r="K5" s="48" t="s">
        <v>1578</v>
      </c>
      <c r="L5" s="48" t="s">
        <v>1579</v>
      </c>
      <c r="M5" s="147"/>
      <c r="N5" s="181"/>
      <c r="O5" s="181"/>
    </row>
    <row r="6" spans="1:16" ht="45.75" thickBot="1">
      <c r="A6" s="104" t="s">
        <v>1584</v>
      </c>
      <c r="B6" s="14" t="s">
        <v>970</v>
      </c>
      <c r="C6" s="100" t="s">
        <v>972</v>
      </c>
      <c r="D6" s="100" t="s">
        <v>7</v>
      </c>
      <c r="E6" s="10" t="s">
        <v>973</v>
      </c>
      <c r="F6" s="10" t="s">
        <v>422</v>
      </c>
      <c r="G6" s="100" t="s">
        <v>214</v>
      </c>
      <c r="H6" s="10" t="s">
        <v>928</v>
      </c>
      <c r="I6" s="114" t="s">
        <v>1545</v>
      </c>
      <c r="J6" s="144">
        <f>205000*0.7*0.00336</f>
        <v>482.16</v>
      </c>
      <c r="K6" s="144">
        <f>205000*0.3*0.00336</f>
        <v>206.64000000000001</v>
      </c>
      <c r="L6" s="144">
        <v>0</v>
      </c>
      <c r="M6" s="147"/>
      <c r="N6" s="125"/>
      <c r="O6" s="125"/>
      <c r="P6" s="117"/>
    </row>
    <row r="7" spans="1:16" ht="45.75" thickBot="1">
      <c r="A7" s="104"/>
      <c r="B7" s="15" t="s">
        <v>971</v>
      </c>
      <c r="C7" s="101"/>
      <c r="D7" s="101"/>
      <c r="E7" s="28">
        <v>1.12</v>
      </c>
      <c r="F7" s="11" t="s">
        <v>9</v>
      </c>
      <c r="G7" s="109"/>
      <c r="H7" s="16" t="s">
        <v>966</v>
      </c>
      <c r="I7" s="116"/>
      <c r="J7" s="145"/>
      <c r="K7" s="145"/>
      <c r="L7" s="145"/>
      <c r="M7" s="147"/>
      <c r="N7" s="125"/>
      <c r="O7" s="125"/>
      <c r="P7" s="117"/>
    </row>
    <row r="8" spans="1:16" ht="30.75" thickBot="1">
      <c r="A8" s="104"/>
      <c r="B8" s="15"/>
      <c r="C8" s="10" t="s">
        <v>974</v>
      </c>
      <c r="D8" s="100" t="s">
        <v>7</v>
      </c>
      <c r="E8" s="10" t="s">
        <v>210</v>
      </c>
      <c r="F8" s="10" t="s">
        <v>422</v>
      </c>
      <c r="G8" s="109"/>
      <c r="H8" s="16"/>
      <c r="I8" s="116"/>
      <c r="J8" s="145"/>
      <c r="K8" s="145"/>
      <c r="L8" s="145"/>
      <c r="M8" s="147"/>
      <c r="N8" s="125"/>
      <c r="O8" s="125"/>
      <c r="P8" s="117"/>
    </row>
    <row r="9" spans="1:16" ht="15.75" thickBot="1">
      <c r="A9" s="104"/>
      <c r="B9" s="17"/>
      <c r="C9" s="11" t="s">
        <v>975</v>
      </c>
      <c r="D9" s="101"/>
      <c r="E9" s="11" t="s">
        <v>248</v>
      </c>
      <c r="F9" s="11" t="s">
        <v>9</v>
      </c>
      <c r="G9" s="101"/>
      <c r="H9" s="11"/>
      <c r="I9" s="115"/>
      <c r="J9" s="146"/>
      <c r="K9" s="146"/>
      <c r="L9" s="146"/>
      <c r="M9" s="147"/>
      <c r="N9" s="125"/>
      <c r="O9" s="125"/>
      <c r="P9" s="117"/>
    </row>
    <row r="10" spans="1:16" ht="45.75" thickBot="1">
      <c r="A10" s="104" t="s">
        <v>1585</v>
      </c>
      <c r="B10" s="14" t="s">
        <v>976</v>
      </c>
      <c r="C10" s="100" t="s">
        <v>972</v>
      </c>
      <c r="D10" s="100" t="s">
        <v>7</v>
      </c>
      <c r="E10" s="10" t="s">
        <v>980</v>
      </c>
      <c r="F10" s="10" t="s">
        <v>422</v>
      </c>
      <c r="G10" s="100" t="s">
        <v>214</v>
      </c>
      <c r="H10" s="10" t="s">
        <v>928</v>
      </c>
      <c r="I10" s="114" t="s">
        <v>1546</v>
      </c>
      <c r="J10" s="144">
        <f>500000*0.7*0.00336</f>
        <v>1176</v>
      </c>
      <c r="K10" s="144">
        <f>500000*0.3*0.00336</f>
        <v>504</v>
      </c>
      <c r="L10" s="144">
        <v>0</v>
      </c>
      <c r="M10" s="147"/>
      <c r="N10" s="125"/>
      <c r="O10" s="125"/>
      <c r="P10" s="117"/>
    </row>
    <row r="11" spans="1:16" ht="45.75" thickBot="1">
      <c r="A11" s="104"/>
      <c r="B11" s="15" t="s">
        <v>977</v>
      </c>
      <c r="C11" s="109"/>
      <c r="D11" s="109"/>
      <c r="E11" s="16" t="s">
        <v>981</v>
      </c>
      <c r="F11" s="16" t="s">
        <v>9</v>
      </c>
      <c r="G11" s="109"/>
      <c r="H11" s="16" t="s">
        <v>966</v>
      </c>
      <c r="I11" s="116"/>
      <c r="J11" s="145"/>
      <c r="K11" s="145"/>
      <c r="L11" s="145"/>
      <c r="M11" s="147"/>
      <c r="N11" s="125"/>
      <c r="O11" s="125"/>
      <c r="P11" s="117"/>
    </row>
    <row r="12" spans="1:16" ht="15.75" thickBot="1">
      <c r="A12" s="104"/>
      <c r="B12" s="15" t="s">
        <v>978</v>
      </c>
      <c r="C12" s="101"/>
      <c r="D12" s="101"/>
      <c r="E12" s="11"/>
      <c r="F12" s="11"/>
      <c r="G12" s="109"/>
      <c r="H12" s="16"/>
      <c r="I12" s="116"/>
      <c r="J12" s="145"/>
      <c r="K12" s="145"/>
      <c r="L12" s="145"/>
      <c r="M12" s="147"/>
      <c r="N12" s="125"/>
      <c r="O12" s="125"/>
      <c r="P12" s="117"/>
    </row>
    <row r="13" spans="1:16" ht="30.75" thickBot="1">
      <c r="A13" s="104"/>
      <c r="B13" s="15" t="s">
        <v>979</v>
      </c>
      <c r="C13" s="10" t="s">
        <v>974</v>
      </c>
      <c r="D13" s="100" t="s">
        <v>7</v>
      </c>
      <c r="E13" s="10" t="s">
        <v>217</v>
      </c>
      <c r="F13" s="10" t="s">
        <v>422</v>
      </c>
      <c r="G13" s="109"/>
      <c r="H13" s="16"/>
      <c r="I13" s="116"/>
      <c r="J13" s="145"/>
      <c r="K13" s="145"/>
      <c r="L13" s="145"/>
      <c r="M13" s="147"/>
      <c r="N13" s="125"/>
      <c r="O13" s="125"/>
      <c r="P13" s="117"/>
    </row>
    <row r="14" spans="1:16" ht="15.75" thickBot="1">
      <c r="A14" s="104"/>
      <c r="B14" s="17"/>
      <c r="C14" s="11" t="s">
        <v>975</v>
      </c>
      <c r="D14" s="101"/>
      <c r="E14" s="11" t="s">
        <v>229</v>
      </c>
      <c r="F14" s="11" t="s">
        <v>9</v>
      </c>
      <c r="G14" s="101"/>
      <c r="H14" s="11"/>
      <c r="I14" s="115"/>
      <c r="J14" s="146"/>
      <c r="K14" s="146"/>
      <c r="L14" s="146"/>
      <c r="M14" s="147"/>
      <c r="N14" s="125"/>
      <c r="O14" s="125"/>
      <c r="P14" s="117"/>
    </row>
    <row r="15" spans="1:16" ht="45.75" thickBot="1">
      <c r="A15" s="104" t="s">
        <v>1586</v>
      </c>
      <c r="B15" s="213" t="s">
        <v>982</v>
      </c>
      <c r="C15" s="203"/>
      <c r="D15" s="100" t="s">
        <v>1636</v>
      </c>
      <c r="E15" s="10" t="s">
        <v>749</v>
      </c>
      <c r="F15" s="10" t="s">
        <v>422</v>
      </c>
      <c r="G15" s="100" t="s">
        <v>984</v>
      </c>
      <c r="H15" s="10" t="s">
        <v>928</v>
      </c>
      <c r="I15" s="114" t="s">
        <v>1547</v>
      </c>
      <c r="J15" s="144">
        <f>1800*0.7*0.00336</f>
        <v>4.2336</v>
      </c>
      <c r="K15" s="144">
        <f>1800*0.3*0.00336</f>
        <v>1.8144</v>
      </c>
      <c r="L15" s="144">
        <v>0</v>
      </c>
      <c r="M15" s="147"/>
      <c r="N15" s="125"/>
      <c r="O15" s="125"/>
      <c r="P15" s="117"/>
    </row>
    <row r="16" spans="1:16" ht="45.75" thickBot="1">
      <c r="A16" s="104"/>
      <c r="B16" s="215" t="s">
        <v>983</v>
      </c>
      <c r="C16" s="204"/>
      <c r="D16" s="101"/>
      <c r="E16" s="11" t="s">
        <v>103</v>
      </c>
      <c r="F16" s="11" t="s">
        <v>9</v>
      </c>
      <c r="G16" s="101"/>
      <c r="H16" s="11" t="s">
        <v>985</v>
      </c>
      <c r="I16" s="115"/>
      <c r="J16" s="146"/>
      <c r="K16" s="146"/>
      <c r="L16" s="146"/>
      <c r="M16" s="147"/>
      <c r="N16" s="125"/>
      <c r="O16" s="125"/>
      <c r="P16" s="117"/>
    </row>
    <row r="17" spans="1:16" ht="27" customHeight="1" thickBot="1">
      <c r="A17" s="104" t="s">
        <v>1587</v>
      </c>
      <c r="B17" s="213" t="s">
        <v>986</v>
      </c>
      <c r="C17" s="203"/>
      <c r="D17" s="100" t="s">
        <v>290</v>
      </c>
      <c r="E17" s="10" t="s">
        <v>988</v>
      </c>
      <c r="F17" s="10" t="s">
        <v>1567</v>
      </c>
      <c r="G17" s="119" t="s">
        <v>990</v>
      </c>
      <c r="H17" s="177"/>
      <c r="I17" s="114" t="s">
        <v>1548</v>
      </c>
      <c r="J17" s="144">
        <f>1000000*0.7*0.00336</f>
        <v>2352</v>
      </c>
      <c r="K17" s="144">
        <f>1000000*0.3*0.00336</f>
        <v>1008</v>
      </c>
      <c r="L17" s="144">
        <v>0</v>
      </c>
      <c r="M17" s="147"/>
      <c r="N17" s="125"/>
      <c r="O17" s="125"/>
      <c r="P17" s="117"/>
    </row>
    <row r="18" spans="1:16" ht="27" customHeight="1" thickBot="1">
      <c r="A18" s="104"/>
      <c r="B18" s="215" t="s">
        <v>987</v>
      </c>
      <c r="C18" s="204"/>
      <c r="D18" s="101"/>
      <c r="E18" s="11" t="s">
        <v>989</v>
      </c>
      <c r="F18" s="11" t="s">
        <v>9</v>
      </c>
      <c r="G18" s="179"/>
      <c r="H18" s="180"/>
      <c r="I18" s="115"/>
      <c r="J18" s="146"/>
      <c r="K18" s="146"/>
      <c r="L18" s="146"/>
      <c r="M18" s="147"/>
      <c r="N18" s="125"/>
      <c r="O18" s="125"/>
      <c r="P18" s="117"/>
    </row>
  </sheetData>
  <sheetProtection/>
  <mergeCells count="66">
    <mergeCell ref="O3:O5"/>
    <mergeCell ref="N3:N5"/>
    <mergeCell ref="O17:O18"/>
    <mergeCell ref="O15:O16"/>
    <mergeCell ref="N15:N16"/>
    <mergeCell ref="N10:N14"/>
    <mergeCell ref="O10:O14"/>
    <mergeCell ref="O6:O9"/>
    <mergeCell ref="M17:M18"/>
    <mergeCell ref="M15:M16"/>
    <mergeCell ref="M10:M14"/>
    <mergeCell ref="M6:M9"/>
    <mergeCell ref="N6:N9"/>
    <mergeCell ref="M3:M5"/>
    <mergeCell ref="N17:N18"/>
    <mergeCell ref="J15:J16"/>
    <mergeCell ref="K15:K16"/>
    <mergeCell ref="L15:L16"/>
    <mergeCell ref="L17:L18"/>
    <mergeCell ref="K17:K18"/>
    <mergeCell ref="J17:J18"/>
    <mergeCell ref="J6:J9"/>
    <mergeCell ref="K6:K9"/>
    <mergeCell ref="L6:L9"/>
    <mergeCell ref="L10:L14"/>
    <mergeCell ref="K10:K14"/>
    <mergeCell ref="J10:J14"/>
    <mergeCell ref="A1:B1"/>
    <mergeCell ref="A3:A5"/>
    <mergeCell ref="A6:A9"/>
    <mergeCell ref="A10:A14"/>
    <mergeCell ref="A15:A16"/>
    <mergeCell ref="A17:A18"/>
    <mergeCell ref="B18:C18"/>
    <mergeCell ref="B3:C5"/>
    <mergeCell ref="C6:C7"/>
    <mergeCell ref="B15:C15"/>
    <mergeCell ref="D3:D5"/>
    <mergeCell ref="E3:F3"/>
    <mergeCell ref="G3:H3"/>
    <mergeCell ref="F4:F5"/>
    <mergeCell ref="G4:G5"/>
    <mergeCell ref="H4:H5"/>
    <mergeCell ref="D6:D7"/>
    <mergeCell ref="G6:G9"/>
    <mergeCell ref="D8:D9"/>
    <mergeCell ref="C10:C12"/>
    <mergeCell ref="D10:D12"/>
    <mergeCell ref="G10:G14"/>
    <mergeCell ref="D13:D14"/>
    <mergeCell ref="B16:C16"/>
    <mergeCell ref="D15:D16"/>
    <mergeCell ref="G15:G16"/>
    <mergeCell ref="B17:C17"/>
    <mergeCell ref="D17:D18"/>
    <mergeCell ref="G17:H18"/>
    <mergeCell ref="P6:P9"/>
    <mergeCell ref="P10:P14"/>
    <mergeCell ref="P15:P16"/>
    <mergeCell ref="P17:P18"/>
    <mergeCell ref="I3:I5"/>
    <mergeCell ref="I6:I9"/>
    <mergeCell ref="I10:I14"/>
    <mergeCell ref="I15:I16"/>
    <mergeCell ref="I17:I18"/>
    <mergeCell ref="J3:L4"/>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4"/>
  </sheetPr>
  <dimension ref="A1:O33"/>
  <sheetViews>
    <sheetView zoomScalePageLayoutView="0" workbookViewId="0" topLeftCell="A1">
      <selection activeCell="A1" sqref="A1:B1"/>
    </sheetView>
  </sheetViews>
  <sheetFormatPr defaultColWidth="8.8515625" defaultRowHeight="15"/>
  <cols>
    <col min="1" max="1" width="8.8515625" style="3" customWidth="1"/>
    <col min="2" max="2" width="24.140625" style="3" customWidth="1"/>
    <col min="3" max="7" width="8.8515625" style="3" customWidth="1"/>
    <col min="8" max="8" width="11.28125" style="3" bestFit="1" customWidth="1"/>
    <col min="9" max="11" width="14.00390625" style="3" customWidth="1"/>
    <col min="12" max="12" width="8.8515625" style="3" customWidth="1"/>
    <col min="13" max="13" width="9.57421875" style="3" bestFit="1" customWidth="1"/>
    <col min="14" max="14" width="11.00390625" style="3" bestFit="1" customWidth="1"/>
    <col min="15" max="16384" width="8.8515625" style="3" customWidth="1"/>
  </cols>
  <sheetData>
    <row r="1" spans="1:15" ht="15">
      <c r="A1" s="217" t="s">
        <v>991</v>
      </c>
      <c r="B1" s="217"/>
      <c r="O1" s="45"/>
    </row>
    <row r="2" ht="15.75" thickBot="1">
      <c r="B2" s="9"/>
    </row>
    <row r="3" spans="1:14" ht="15.75" thickBot="1">
      <c r="A3" s="104" t="s">
        <v>1583</v>
      </c>
      <c r="B3" s="100" t="s">
        <v>1</v>
      </c>
      <c r="C3" s="100" t="s">
        <v>2</v>
      </c>
      <c r="D3" s="110" t="s">
        <v>144</v>
      </c>
      <c r="E3" s="112"/>
      <c r="F3" s="110" t="s">
        <v>79</v>
      </c>
      <c r="G3" s="112"/>
      <c r="H3" s="195" t="s">
        <v>1334</v>
      </c>
      <c r="I3" s="102" t="s">
        <v>1576</v>
      </c>
      <c r="J3" s="102"/>
      <c r="K3" s="102"/>
      <c r="L3" s="147"/>
      <c r="M3" s="181"/>
      <c r="N3" s="181"/>
    </row>
    <row r="4" spans="1:14" ht="45.75" thickBot="1">
      <c r="A4" s="104"/>
      <c r="B4" s="109"/>
      <c r="C4" s="109"/>
      <c r="D4" s="10" t="s">
        <v>751</v>
      </c>
      <c r="E4" s="100" t="s">
        <v>5</v>
      </c>
      <c r="F4" s="100" t="s">
        <v>146</v>
      </c>
      <c r="G4" s="100" t="s">
        <v>84</v>
      </c>
      <c r="H4" s="195"/>
      <c r="I4" s="102"/>
      <c r="J4" s="102"/>
      <c r="K4" s="102"/>
      <c r="L4" s="147"/>
      <c r="M4" s="181"/>
      <c r="N4" s="181"/>
    </row>
    <row r="5" spans="1:14" ht="15.75" thickBot="1">
      <c r="A5" s="104"/>
      <c r="B5" s="101"/>
      <c r="C5" s="101"/>
      <c r="D5" s="11" t="s">
        <v>4</v>
      </c>
      <c r="E5" s="101"/>
      <c r="F5" s="101"/>
      <c r="G5" s="101"/>
      <c r="H5" s="195"/>
      <c r="I5" s="48" t="s">
        <v>1588</v>
      </c>
      <c r="J5" s="48" t="s">
        <v>1578</v>
      </c>
      <c r="K5" s="48" t="s">
        <v>1579</v>
      </c>
      <c r="L5" s="147"/>
      <c r="M5" s="181"/>
      <c r="N5" s="181"/>
    </row>
    <row r="6" spans="1:15" ht="32.25">
      <c r="A6" s="148" t="s">
        <v>1584</v>
      </c>
      <c r="B6" s="84" t="s">
        <v>992</v>
      </c>
      <c r="C6" s="130" t="s">
        <v>1086</v>
      </c>
      <c r="D6" s="86" t="s">
        <v>994</v>
      </c>
      <c r="E6" s="86" t="s">
        <v>996</v>
      </c>
      <c r="F6" s="86" t="s">
        <v>1146</v>
      </c>
      <c r="G6" s="86" t="s">
        <v>1147</v>
      </c>
      <c r="H6" s="148" t="s">
        <v>1549</v>
      </c>
      <c r="I6" s="144">
        <f>950*0.4*0.00336</f>
        <v>1.2768000000000002</v>
      </c>
      <c r="J6" s="144">
        <f>950*0.6*0.00336</f>
        <v>1.9152</v>
      </c>
      <c r="K6" s="144">
        <v>0</v>
      </c>
      <c r="L6" s="161"/>
      <c r="M6" s="192"/>
      <c r="N6" s="192"/>
      <c r="O6" s="126"/>
    </row>
    <row r="7" spans="1:15" ht="15.75" thickBot="1">
      <c r="A7" s="149"/>
      <c r="B7" s="85" t="s">
        <v>993</v>
      </c>
      <c r="C7" s="131"/>
      <c r="D7" s="87" t="s">
        <v>995</v>
      </c>
      <c r="E7" s="87" t="s">
        <v>9</v>
      </c>
      <c r="F7" s="87" t="s">
        <v>997</v>
      </c>
      <c r="G7" s="87" t="s">
        <v>606</v>
      </c>
      <c r="H7" s="149"/>
      <c r="I7" s="146"/>
      <c r="J7" s="146"/>
      <c r="K7" s="146"/>
      <c r="L7" s="161"/>
      <c r="M7" s="192"/>
      <c r="N7" s="192"/>
      <c r="O7" s="126"/>
    </row>
    <row r="8" spans="1:15" ht="32.25">
      <c r="A8" s="148" t="s">
        <v>1585</v>
      </c>
      <c r="B8" s="84" t="s">
        <v>998</v>
      </c>
      <c r="C8" s="130" t="s">
        <v>1086</v>
      </c>
      <c r="D8" s="86" t="s">
        <v>999</v>
      </c>
      <c r="E8" s="86" t="s">
        <v>996</v>
      </c>
      <c r="F8" s="86" t="s">
        <v>1146</v>
      </c>
      <c r="G8" s="86" t="s">
        <v>1147</v>
      </c>
      <c r="H8" s="148" t="s">
        <v>1550</v>
      </c>
      <c r="I8" s="144">
        <f>3000*0.4*0.00336</f>
        <v>4.032</v>
      </c>
      <c r="J8" s="144">
        <f>3000*0.6*0.00336</f>
        <v>6.048</v>
      </c>
      <c r="K8" s="144">
        <v>0</v>
      </c>
      <c r="L8" s="161"/>
      <c r="M8" s="192"/>
      <c r="N8" s="192"/>
      <c r="O8" s="126"/>
    </row>
    <row r="9" spans="1:15" ht="15.75" thickBot="1">
      <c r="A9" s="149"/>
      <c r="B9" s="85" t="s">
        <v>993</v>
      </c>
      <c r="C9" s="131"/>
      <c r="D9" s="87" t="s">
        <v>1000</v>
      </c>
      <c r="E9" s="87" t="s">
        <v>9</v>
      </c>
      <c r="F9" s="87" t="s">
        <v>997</v>
      </c>
      <c r="G9" s="87" t="s">
        <v>606</v>
      </c>
      <c r="H9" s="149"/>
      <c r="I9" s="146"/>
      <c r="J9" s="146"/>
      <c r="K9" s="146"/>
      <c r="L9" s="161"/>
      <c r="M9" s="192"/>
      <c r="N9" s="192"/>
      <c r="O9" s="126"/>
    </row>
    <row r="10" spans="1:15" ht="32.25">
      <c r="A10" s="114" t="s">
        <v>1586</v>
      </c>
      <c r="B10" s="14" t="s">
        <v>1001</v>
      </c>
      <c r="C10" s="100" t="s">
        <v>1086</v>
      </c>
      <c r="D10" s="10" t="s">
        <v>1003</v>
      </c>
      <c r="E10" s="10" t="s">
        <v>996</v>
      </c>
      <c r="F10" s="10" t="s">
        <v>1148</v>
      </c>
      <c r="G10" s="10" t="s">
        <v>1147</v>
      </c>
      <c r="H10" s="114" t="s">
        <v>1551</v>
      </c>
      <c r="I10" s="144">
        <f>1250*0.35*0.00336</f>
        <v>1.47</v>
      </c>
      <c r="J10" s="144">
        <f>1250*0.65*0.00336</f>
        <v>2.73</v>
      </c>
      <c r="K10" s="144">
        <v>0</v>
      </c>
      <c r="L10" s="147"/>
      <c r="M10" s="125"/>
      <c r="N10" s="125"/>
      <c r="O10" s="117"/>
    </row>
    <row r="11" spans="1:15" ht="30">
      <c r="A11" s="116"/>
      <c r="B11" s="15" t="s">
        <v>1002</v>
      </c>
      <c r="C11" s="109"/>
      <c r="D11" s="16" t="s">
        <v>1004</v>
      </c>
      <c r="E11" s="16" t="s">
        <v>9</v>
      </c>
      <c r="F11" s="16" t="s">
        <v>1005</v>
      </c>
      <c r="G11" s="16" t="s">
        <v>1007</v>
      </c>
      <c r="H11" s="116"/>
      <c r="I11" s="145"/>
      <c r="J11" s="145"/>
      <c r="K11" s="145"/>
      <c r="L11" s="147"/>
      <c r="M11" s="125"/>
      <c r="N11" s="125"/>
      <c r="O11" s="117"/>
    </row>
    <row r="12" spans="1:15" ht="15.75" thickBot="1">
      <c r="A12" s="115"/>
      <c r="B12" s="17"/>
      <c r="C12" s="101"/>
      <c r="D12" s="11"/>
      <c r="E12" s="11"/>
      <c r="F12" s="11" t="s">
        <v>1006</v>
      </c>
      <c r="G12" s="11" t="s">
        <v>606</v>
      </c>
      <c r="H12" s="115"/>
      <c r="I12" s="146"/>
      <c r="J12" s="146"/>
      <c r="K12" s="146"/>
      <c r="L12" s="147"/>
      <c r="M12" s="125"/>
      <c r="N12" s="125"/>
      <c r="O12" s="117"/>
    </row>
    <row r="13" spans="1:15" ht="15">
      <c r="A13" s="148" t="s">
        <v>1587</v>
      </c>
      <c r="B13" s="55" t="s">
        <v>1008</v>
      </c>
      <c r="C13" s="130" t="s">
        <v>1086</v>
      </c>
      <c r="D13" s="57" t="s">
        <v>1010</v>
      </c>
      <c r="E13" s="57" t="s">
        <v>996</v>
      </c>
      <c r="F13" s="57" t="s">
        <v>1012</v>
      </c>
      <c r="G13" s="57" t="s">
        <v>1014</v>
      </c>
      <c r="H13" s="148" t="s">
        <v>1552</v>
      </c>
      <c r="I13" s="144">
        <f>12000*0.7*0.00336</f>
        <v>28.224</v>
      </c>
      <c r="J13" s="144">
        <f>12000*0.3*0.00336</f>
        <v>12.096</v>
      </c>
      <c r="K13" s="144">
        <v>0</v>
      </c>
      <c r="L13" s="161"/>
      <c r="M13" s="192"/>
      <c r="N13" s="192"/>
      <c r="O13" s="126"/>
    </row>
    <row r="14" spans="1:15" ht="30.75" thickBot="1">
      <c r="A14" s="149"/>
      <c r="B14" s="56" t="s">
        <v>1009</v>
      </c>
      <c r="C14" s="131"/>
      <c r="D14" s="58" t="s">
        <v>1011</v>
      </c>
      <c r="E14" s="58" t="s">
        <v>9</v>
      </c>
      <c r="F14" s="58" t="s">
        <v>1013</v>
      </c>
      <c r="G14" s="58" t="s">
        <v>1015</v>
      </c>
      <c r="H14" s="149"/>
      <c r="I14" s="146"/>
      <c r="J14" s="146"/>
      <c r="K14" s="146"/>
      <c r="L14" s="161"/>
      <c r="M14" s="192"/>
      <c r="N14" s="192"/>
      <c r="O14" s="126"/>
    </row>
    <row r="15" spans="1:15" ht="15">
      <c r="A15" s="114" t="s">
        <v>1589</v>
      </c>
      <c r="B15" s="14" t="s">
        <v>1016</v>
      </c>
      <c r="C15" s="100" t="s">
        <v>1086</v>
      </c>
      <c r="D15" s="10" t="s">
        <v>1018</v>
      </c>
      <c r="E15" s="10" t="s">
        <v>996</v>
      </c>
      <c r="F15" s="10" t="s">
        <v>1012</v>
      </c>
      <c r="G15" s="10" t="s">
        <v>1014</v>
      </c>
      <c r="H15" s="114" t="s">
        <v>1553</v>
      </c>
      <c r="I15" s="144">
        <f>2900*0.7*0.00336</f>
        <v>6.820799999999999</v>
      </c>
      <c r="J15" s="144">
        <f>2900*0.3*0.00336</f>
        <v>2.9232</v>
      </c>
      <c r="K15" s="144">
        <v>0</v>
      </c>
      <c r="L15" s="147"/>
      <c r="M15" s="125"/>
      <c r="N15" s="125"/>
      <c r="O15" s="117"/>
    </row>
    <row r="16" spans="1:15" ht="30.75" thickBot="1">
      <c r="A16" s="115"/>
      <c r="B16" s="17" t="s">
        <v>1017</v>
      </c>
      <c r="C16" s="101"/>
      <c r="D16" s="11" t="s">
        <v>341</v>
      </c>
      <c r="E16" s="11" t="s">
        <v>9</v>
      </c>
      <c r="F16" s="11" t="s">
        <v>1013</v>
      </c>
      <c r="G16" s="11" t="s">
        <v>1015</v>
      </c>
      <c r="H16" s="115"/>
      <c r="I16" s="146"/>
      <c r="J16" s="146"/>
      <c r="K16" s="146"/>
      <c r="L16" s="147"/>
      <c r="M16" s="125"/>
      <c r="N16" s="125"/>
      <c r="O16" s="117"/>
    </row>
    <row r="17" spans="1:15" ht="15">
      <c r="A17" s="114" t="s">
        <v>1590</v>
      </c>
      <c r="B17" s="14" t="s">
        <v>1019</v>
      </c>
      <c r="C17" s="100" t="s">
        <v>1086</v>
      </c>
      <c r="D17" s="10" t="s">
        <v>1021</v>
      </c>
      <c r="E17" s="10" t="s">
        <v>996</v>
      </c>
      <c r="F17" s="10" t="s">
        <v>1022</v>
      </c>
      <c r="G17" s="10" t="s">
        <v>1023</v>
      </c>
      <c r="H17" s="114" t="s">
        <v>1554</v>
      </c>
      <c r="I17" s="144">
        <f>800*0.45*0.00336</f>
        <v>1.2096</v>
      </c>
      <c r="J17" s="144">
        <f>800*0.55*0.00336</f>
        <v>1.4784000000000002</v>
      </c>
      <c r="K17" s="144">
        <v>0</v>
      </c>
      <c r="L17" s="147"/>
      <c r="M17" s="125"/>
      <c r="N17" s="125"/>
      <c r="O17" s="117"/>
    </row>
    <row r="18" spans="1:15" ht="33" thickBot="1">
      <c r="A18" s="115"/>
      <c r="B18" s="17" t="s">
        <v>1020</v>
      </c>
      <c r="C18" s="101"/>
      <c r="D18" s="28">
        <v>2.3</v>
      </c>
      <c r="E18" s="11" t="s">
        <v>9</v>
      </c>
      <c r="F18" s="11" t="s">
        <v>1149</v>
      </c>
      <c r="G18" s="11" t="s">
        <v>1150</v>
      </c>
      <c r="H18" s="115"/>
      <c r="I18" s="146"/>
      <c r="J18" s="146"/>
      <c r="K18" s="146"/>
      <c r="L18" s="147"/>
      <c r="M18" s="125"/>
      <c r="N18" s="125"/>
      <c r="O18" s="117"/>
    </row>
    <row r="19" spans="1:15" ht="15">
      <c r="A19" s="114" t="s">
        <v>1591</v>
      </c>
      <c r="B19" s="14" t="s">
        <v>1024</v>
      </c>
      <c r="C19" s="100" t="s">
        <v>1086</v>
      </c>
      <c r="D19" s="100" t="s">
        <v>1026</v>
      </c>
      <c r="E19" s="100" t="s">
        <v>1027</v>
      </c>
      <c r="F19" s="100" t="s">
        <v>1151</v>
      </c>
      <c r="G19" s="100" t="s">
        <v>1028</v>
      </c>
      <c r="H19" s="114" t="s">
        <v>1555</v>
      </c>
      <c r="I19" s="144">
        <f>3900*0.7*0.00336</f>
        <v>9.1728</v>
      </c>
      <c r="J19" s="144">
        <f>3900*0.3*0.00336</f>
        <v>3.9312</v>
      </c>
      <c r="K19" s="144">
        <v>0</v>
      </c>
      <c r="L19" s="147"/>
      <c r="M19" s="125"/>
      <c r="N19" s="125"/>
      <c r="O19" s="117"/>
    </row>
    <row r="20" spans="1:15" ht="15.75" thickBot="1">
      <c r="A20" s="115"/>
      <c r="B20" s="17" t="s">
        <v>1025</v>
      </c>
      <c r="C20" s="101"/>
      <c r="D20" s="101"/>
      <c r="E20" s="101"/>
      <c r="F20" s="101"/>
      <c r="G20" s="101"/>
      <c r="H20" s="115"/>
      <c r="I20" s="146"/>
      <c r="J20" s="146"/>
      <c r="K20" s="146"/>
      <c r="L20" s="147"/>
      <c r="M20" s="125"/>
      <c r="N20" s="125"/>
      <c r="O20" s="117"/>
    </row>
    <row r="21" spans="1:15" ht="30.75" thickBot="1">
      <c r="A21" s="90" t="s">
        <v>1592</v>
      </c>
      <c r="B21" s="46" t="s">
        <v>1029</v>
      </c>
      <c r="C21" s="25" t="s">
        <v>1086</v>
      </c>
      <c r="D21" s="29">
        <v>7.12</v>
      </c>
      <c r="E21" s="25" t="s">
        <v>1030</v>
      </c>
      <c r="F21" s="25" t="s">
        <v>1031</v>
      </c>
      <c r="G21" s="25" t="s">
        <v>1032</v>
      </c>
      <c r="H21" s="90" t="s">
        <v>1556</v>
      </c>
      <c r="I21" s="95">
        <f>62*0.00336</f>
        <v>0.20832</v>
      </c>
      <c r="J21" s="95">
        <f>429*0.00336</f>
        <v>1.44144</v>
      </c>
      <c r="K21" s="95">
        <v>0</v>
      </c>
      <c r="O21" s="54"/>
    </row>
    <row r="22" spans="1:15" ht="15">
      <c r="A22" s="148" t="s">
        <v>1593</v>
      </c>
      <c r="B22" s="84" t="s">
        <v>1033</v>
      </c>
      <c r="C22" s="130" t="s">
        <v>157</v>
      </c>
      <c r="D22" s="130" t="s">
        <v>1035</v>
      </c>
      <c r="E22" s="130" t="s">
        <v>1030</v>
      </c>
      <c r="F22" s="130" t="s">
        <v>1036</v>
      </c>
      <c r="G22" s="130" t="s">
        <v>1032</v>
      </c>
      <c r="H22" s="148" t="s">
        <v>1557</v>
      </c>
      <c r="I22" s="144">
        <f>800*0.00336</f>
        <v>2.688</v>
      </c>
      <c r="J22" s="144">
        <f>300*0.00336</f>
        <v>1.008</v>
      </c>
      <c r="K22" s="144">
        <v>0</v>
      </c>
      <c r="L22" s="147"/>
      <c r="M22" s="125"/>
      <c r="N22" s="125"/>
      <c r="O22" s="117"/>
    </row>
    <row r="23" spans="1:15" ht="15.75" thickBot="1">
      <c r="A23" s="149"/>
      <c r="B23" s="85" t="s">
        <v>1034</v>
      </c>
      <c r="C23" s="131"/>
      <c r="D23" s="131"/>
      <c r="E23" s="131"/>
      <c r="F23" s="131"/>
      <c r="G23" s="131"/>
      <c r="H23" s="149"/>
      <c r="I23" s="146"/>
      <c r="J23" s="146"/>
      <c r="K23" s="146"/>
      <c r="L23" s="147"/>
      <c r="M23" s="125"/>
      <c r="N23" s="125"/>
      <c r="O23" s="117"/>
    </row>
    <row r="24" spans="1:15" ht="30.75" thickBot="1">
      <c r="A24" s="90" t="s">
        <v>1594</v>
      </c>
      <c r="B24" s="46" t="s">
        <v>1037</v>
      </c>
      <c r="C24" s="25" t="s">
        <v>1086</v>
      </c>
      <c r="D24" s="25" t="s">
        <v>1038</v>
      </c>
      <c r="E24" s="25" t="s">
        <v>1030</v>
      </c>
      <c r="F24" s="25" t="s">
        <v>1039</v>
      </c>
      <c r="G24" s="25" t="s">
        <v>1040</v>
      </c>
      <c r="H24" s="90" t="s">
        <v>1558</v>
      </c>
      <c r="I24" s="95">
        <f>1200*0.7*0.00336</f>
        <v>2.8224</v>
      </c>
      <c r="J24" s="95">
        <f>1200*0.3*0.00336</f>
        <v>1.2096</v>
      </c>
      <c r="K24" s="95">
        <v>0</v>
      </c>
      <c r="O24" s="54"/>
    </row>
    <row r="25" spans="1:15" ht="15">
      <c r="A25" s="148" t="s">
        <v>1595</v>
      </c>
      <c r="B25" s="84" t="s">
        <v>1041</v>
      </c>
      <c r="C25" s="130" t="s">
        <v>157</v>
      </c>
      <c r="D25" s="130" t="s">
        <v>1042</v>
      </c>
      <c r="E25" s="130" t="s">
        <v>1030</v>
      </c>
      <c r="F25" s="130" t="s">
        <v>1043</v>
      </c>
      <c r="G25" s="130" t="s">
        <v>1040</v>
      </c>
      <c r="H25" s="148" t="s">
        <v>1559</v>
      </c>
      <c r="I25" s="144">
        <f>52*0.00336</f>
        <v>0.17472000000000001</v>
      </c>
      <c r="J25" s="144">
        <f>264*0.00336</f>
        <v>0.88704</v>
      </c>
      <c r="K25" s="144">
        <v>0</v>
      </c>
      <c r="L25" s="147"/>
      <c r="M25" s="125"/>
      <c r="N25" s="125"/>
      <c r="O25" s="117"/>
    </row>
    <row r="26" spans="1:15" ht="15.75" thickBot="1">
      <c r="A26" s="149"/>
      <c r="B26" s="85" t="s">
        <v>1034</v>
      </c>
      <c r="C26" s="131"/>
      <c r="D26" s="131"/>
      <c r="E26" s="131"/>
      <c r="F26" s="131"/>
      <c r="G26" s="131"/>
      <c r="H26" s="149"/>
      <c r="I26" s="146"/>
      <c r="J26" s="146"/>
      <c r="K26" s="146"/>
      <c r="L26" s="147"/>
      <c r="M26" s="125"/>
      <c r="N26" s="125"/>
      <c r="O26" s="117"/>
    </row>
    <row r="27" spans="1:15" ht="15">
      <c r="A27" s="148" t="s">
        <v>1596</v>
      </c>
      <c r="B27" s="84" t="s">
        <v>1044</v>
      </c>
      <c r="C27" s="130" t="s">
        <v>1086</v>
      </c>
      <c r="D27" s="130" t="s">
        <v>1046</v>
      </c>
      <c r="E27" s="130" t="s">
        <v>1030</v>
      </c>
      <c r="F27" s="130" t="s">
        <v>1039</v>
      </c>
      <c r="G27" s="130" t="s">
        <v>1047</v>
      </c>
      <c r="H27" s="148" t="s">
        <v>1560</v>
      </c>
      <c r="I27" s="144">
        <f>2400*0.7*0.00336</f>
        <v>5.6448</v>
      </c>
      <c r="J27" s="144">
        <f>2700*0.3*0.00336</f>
        <v>2.7216</v>
      </c>
      <c r="K27" s="144">
        <v>0</v>
      </c>
      <c r="L27" s="147"/>
      <c r="M27" s="125"/>
      <c r="N27" s="125"/>
      <c r="O27" s="117"/>
    </row>
    <row r="28" spans="1:15" ht="15.75" thickBot="1">
      <c r="A28" s="149"/>
      <c r="B28" s="85" t="s">
        <v>1045</v>
      </c>
      <c r="C28" s="131"/>
      <c r="D28" s="131"/>
      <c r="E28" s="131"/>
      <c r="F28" s="131"/>
      <c r="G28" s="131"/>
      <c r="H28" s="149"/>
      <c r="I28" s="146"/>
      <c r="J28" s="146"/>
      <c r="K28" s="146"/>
      <c r="L28" s="147"/>
      <c r="M28" s="125"/>
      <c r="N28" s="125"/>
      <c r="O28" s="117"/>
    </row>
    <row r="29" spans="1:15" ht="15">
      <c r="A29" s="148" t="s">
        <v>1597</v>
      </c>
      <c r="B29" s="84" t="s">
        <v>1048</v>
      </c>
      <c r="C29" s="130" t="s">
        <v>157</v>
      </c>
      <c r="D29" s="107">
        <v>5.8</v>
      </c>
      <c r="E29" s="130" t="s">
        <v>1030</v>
      </c>
      <c r="F29" s="130" t="s">
        <v>1050</v>
      </c>
      <c r="G29" s="130" t="s">
        <v>1047</v>
      </c>
      <c r="H29" s="148" t="s">
        <v>1561</v>
      </c>
      <c r="I29" s="144">
        <f>260*0.00336</f>
        <v>0.8736</v>
      </c>
      <c r="J29" s="144">
        <f>1040*0.00336</f>
        <v>3.4944</v>
      </c>
      <c r="K29" s="144">
        <v>0</v>
      </c>
      <c r="L29" s="147"/>
      <c r="M29" s="125"/>
      <c r="N29" s="125"/>
      <c r="O29" s="117"/>
    </row>
    <row r="30" spans="1:15" ht="30.75" thickBot="1">
      <c r="A30" s="149"/>
      <c r="B30" s="85" t="s">
        <v>1049</v>
      </c>
      <c r="C30" s="131"/>
      <c r="D30" s="108"/>
      <c r="E30" s="131"/>
      <c r="F30" s="131"/>
      <c r="G30" s="131"/>
      <c r="H30" s="149"/>
      <c r="I30" s="146"/>
      <c r="J30" s="146"/>
      <c r="K30" s="146"/>
      <c r="L30" s="147"/>
      <c r="M30" s="125"/>
      <c r="N30" s="125"/>
      <c r="O30" s="117"/>
    </row>
    <row r="31" spans="1:15" ht="30.75" thickBot="1">
      <c r="A31" s="90" t="s">
        <v>1598</v>
      </c>
      <c r="B31" s="46" t="s">
        <v>1051</v>
      </c>
      <c r="C31" s="25" t="s">
        <v>1086</v>
      </c>
      <c r="D31" s="25" t="s">
        <v>1052</v>
      </c>
      <c r="E31" s="25" t="s">
        <v>1030</v>
      </c>
      <c r="F31" s="25" t="s">
        <v>1053</v>
      </c>
      <c r="G31" s="25" t="s">
        <v>1054</v>
      </c>
      <c r="H31" s="90" t="s">
        <v>1562</v>
      </c>
      <c r="I31" s="95">
        <f>7500*0.4*0.00336</f>
        <v>10.08</v>
      </c>
      <c r="J31" s="95">
        <f>7500*0.6*0.00336</f>
        <v>15.120000000000001</v>
      </c>
      <c r="K31" s="95">
        <v>0</v>
      </c>
      <c r="O31" s="54"/>
    </row>
    <row r="32" spans="1:15" ht="15">
      <c r="A32" s="148" t="s">
        <v>1599</v>
      </c>
      <c r="B32" s="84" t="s">
        <v>1055</v>
      </c>
      <c r="C32" s="130" t="s">
        <v>157</v>
      </c>
      <c r="D32" s="130" t="s">
        <v>1042</v>
      </c>
      <c r="E32" s="130" t="s">
        <v>1030</v>
      </c>
      <c r="F32" s="130" t="s">
        <v>1013</v>
      </c>
      <c r="G32" s="130" t="s">
        <v>1054</v>
      </c>
      <c r="H32" s="148" t="s">
        <v>1563</v>
      </c>
      <c r="I32" s="144">
        <f>1300*0.2*0.00336</f>
        <v>0.8736</v>
      </c>
      <c r="J32" s="144">
        <f>1300*0.8*0.00336</f>
        <v>3.4944</v>
      </c>
      <c r="K32" s="144">
        <v>0</v>
      </c>
      <c r="L32" s="147"/>
      <c r="M32" s="125"/>
      <c r="N32" s="125"/>
      <c r="O32" s="117"/>
    </row>
    <row r="33" spans="1:15" ht="15.75" thickBot="1">
      <c r="A33" s="149"/>
      <c r="B33" s="85" t="s">
        <v>1034</v>
      </c>
      <c r="C33" s="131"/>
      <c r="D33" s="131"/>
      <c r="E33" s="131"/>
      <c r="F33" s="131"/>
      <c r="G33" s="131"/>
      <c r="H33" s="149"/>
      <c r="I33" s="146"/>
      <c r="J33" s="146"/>
      <c r="K33" s="146"/>
      <c r="L33" s="147"/>
      <c r="M33" s="125"/>
      <c r="N33" s="125"/>
      <c r="O33" s="117"/>
    </row>
  </sheetData>
  <sheetProtection/>
  <mergeCells count="158">
    <mergeCell ref="A27:A28"/>
    <mergeCell ref="A10:A12"/>
    <mergeCell ref="A13:A14"/>
    <mergeCell ref="B3:B5"/>
    <mergeCell ref="A29:A30"/>
    <mergeCell ref="A32:A33"/>
    <mergeCell ref="A15:A16"/>
    <mergeCell ref="A17:A18"/>
    <mergeCell ref="A19:A20"/>
    <mergeCell ref="A22:A23"/>
    <mergeCell ref="A25:A26"/>
    <mergeCell ref="M3:M5"/>
    <mergeCell ref="N3:N5"/>
    <mergeCell ref="A1:B1"/>
    <mergeCell ref="A3:A5"/>
    <mergeCell ref="A6:A7"/>
    <mergeCell ref="A8:A9"/>
    <mergeCell ref="N10:N12"/>
    <mergeCell ref="M10:M12"/>
    <mergeCell ref="L10:L12"/>
    <mergeCell ref="L3:L5"/>
    <mergeCell ref="L6:L7"/>
    <mergeCell ref="L8:L9"/>
    <mergeCell ref="M8:M9"/>
    <mergeCell ref="N8:N9"/>
    <mergeCell ref="N6:N7"/>
    <mergeCell ref="M6:M7"/>
    <mergeCell ref="N15:N16"/>
    <mergeCell ref="M15:M16"/>
    <mergeCell ref="L15:L16"/>
    <mergeCell ref="L13:L14"/>
    <mergeCell ref="M13:M14"/>
    <mergeCell ref="N13:N14"/>
    <mergeCell ref="N19:N20"/>
    <mergeCell ref="M19:M20"/>
    <mergeCell ref="L19:L20"/>
    <mergeCell ref="L17:L18"/>
    <mergeCell ref="M17:M18"/>
    <mergeCell ref="N17:N18"/>
    <mergeCell ref="N32:N33"/>
    <mergeCell ref="M32:M33"/>
    <mergeCell ref="L32:L33"/>
    <mergeCell ref="L22:L23"/>
    <mergeCell ref="M22:M23"/>
    <mergeCell ref="N22:N23"/>
    <mergeCell ref="M25:M26"/>
    <mergeCell ref="N25:N26"/>
    <mergeCell ref="N27:N28"/>
    <mergeCell ref="M27:M28"/>
    <mergeCell ref="L27:L28"/>
    <mergeCell ref="L29:L30"/>
    <mergeCell ref="M29:M30"/>
    <mergeCell ref="N29:N30"/>
    <mergeCell ref="J27:J28"/>
    <mergeCell ref="I27:I28"/>
    <mergeCell ref="K27:K28"/>
    <mergeCell ref="I25:I26"/>
    <mergeCell ref="J25:J26"/>
    <mergeCell ref="K25:K26"/>
    <mergeCell ref="L25:L26"/>
    <mergeCell ref="I22:I23"/>
    <mergeCell ref="J22:J23"/>
    <mergeCell ref="K22:K23"/>
    <mergeCell ref="K32:K33"/>
    <mergeCell ref="J32:J33"/>
    <mergeCell ref="I32:I33"/>
    <mergeCell ref="I29:I30"/>
    <mergeCell ref="J29:J30"/>
    <mergeCell ref="K29:K30"/>
    <mergeCell ref="K17:K18"/>
    <mergeCell ref="J17:J18"/>
    <mergeCell ref="I17:I18"/>
    <mergeCell ref="I19:I20"/>
    <mergeCell ref="J19:J20"/>
    <mergeCell ref="K19:K20"/>
    <mergeCell ref="K13:K14"/>
    <mergeCell ref="I13:I14"/>
    <mergeCell ref="J13:J14"/>
    <mergeCell ref="I15:I16"/>
    <mergeCell ref="J15:J16"/>
    <mergeCell ref="K15:K16"/>
    <mergeCell ref="I3:K4"/>
    <mergeCell ref="I6:I7"/>
    <mergeCell ref="I8:I9"/>
    <mergeCell ref="I10:I12"/>
    <mergeCell ref="J6:J7"/>
    <mergeCell ref="K6:K7"/>
    <mergeCell ref="K8:K9"/>
    <mergeCell ref="J8:J9"/>
    <mergeCell ref="J10:J12"/>
    <mergeCell ref="K10:K12"/>
    <mergeCell ref="C3:C5"/>
    <mergeCell ref="D3:E3"/>
    <mergeCell ref="F3:G3"/>
    <mergeCell ref="E4:E5"/>
    <mergeCell ref="F4:F5"/>
    <mergeCell ref="G4:G5"/>
    <mergeCell ref="C6:C7"/>
    <mergeCell ref="C8:C9"/>
    <mergeCell ref="C10:C12"/>
    <mergeCell ref="C13:C14"/>
    <mergeCell ref="C15:C16"/>
    <mergeCell ref="C17:C18"/>
    <mergeCell ref="C19:C20"/>
    <mergeCell ref="D19:D20"/>
    <mergeCell ref="E19:E20"/>
    <mergeCell ref="F19:F20"/>
    <mergeCell ref="G19:G20"/>
    <mergeCell ref="C22:C23"/>
    <mergeCell ref="D22:D23"/>
    <mergeCell ref="E22:E23"/>
    <mergeCell ref="F22:F23"/>
    <mergeCell ref="G22:G23"/>
    <mergeCell ref="C25:C26"/>
    <mergeCell ref="D25:D26"/>
    <mergeCell ref="E25:E26"/>
    <mergeCell ref="F25:F26"/>
    <mergeCell ref="G25:G26"/>
    <mergeCell ref="C27:C28"/>
    <mergeCell ref="D27:D28"/>
    <mergeCell ref="E27:E28"/>
    <mergeCell ref="F27:F28"/>
    <mergeCell ref="G27:G28"/>
    <mergeCell ref="C29:C30"/>
    <mergeCell ref="D29:D30"/>
    <mergeCell ref="E29:E30"/>
    <mergeCell ref="F29:F30"/>
    <mergeCell ref="G29:G30"/>
    <mergeCell ref="C32:C33"/>
    <mergeCell ref="D32:D33"/>
    <mergeCell ref="E32:E33"/>
    <mergeCell ref="F32:F33"/>
    <mergeCell ref="G32:G33"/>
    <mergeCell ref="H3:H5"/>
    <mergeCell ref="H6:H7"/>
    <mergeCell ref="H8:H9"/>
    <mergeCell ref="H10:H12"/>
    <mergeCell ref="H13:H14"/>
    <mergeCell ref="H15:H16"/>
    <mergeCell ref="H32:H33"/>
    <mergeCell ref="H17:H18"/>
    <mergeCell ref="H19:H20"/>
    <mergeCell ref="H22:H23"/>
    <mergeCell ref="H25:H26"/>
    <mergeCell ref="H27:H28"/>
    <mergeCell ref="H29:H30"/>
    <mergeCell ref="O6:O7"/>
    <mergeCell ref="O8:O9"/>
    <mergeCell ref="O10:O12"/>
    <mergeCell ref="O13:O14"/>
    <mergeCell ref="O15:O16"/>
    <mergeCell ref="O17:O18"/>
    <mergeCell ref="O19:O20"/>
    <mergeCell ref="O22:O23"/>
    <mergeCell ref="O25:O26"/>
    <mergeCell ref="O27:O28"/>
    <mergeCell ref="O29:O30"/>
    <mergeCell ref="O32:O3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theme="4"/>
  </sheetPr>
  <dimension ref="A1:P11"/>
  <sheetViews>
    <sheetView zoomScalePageLayoutView="0" workbookViewId="0" topLeftCell="A1">
      <selection activeCell="A1" sqref="A1:B1"/>
    </sheetView>
  </sheetViews>
  <sheetFormatPr defaultColWidth="8.8515625" defaultRowHeight="15"/>
  <cols>
    <col min="1" max="1" width="8.8515625" style="3" customWidth="1"/>
    <col min="2" max="2" width="32.28125" style="3" customWidth="1"/>
    <col min="3" max="7" width="8.8515625" style="3" customWidth="1"/>
    <col min="8" max="8" width="11.28125" style="3" bestFit="1" customWidth="1"/>
    <col min="9" max="11" width="14.8515625" style="3" customWidth="1"/>
    <col min="12" max="12" width="8.8515625" style="3" customWidth="1"/>
    <col min="13" max="13" width="9.57421875" style="3" bestFit="1" customWidth="1"/>
    <col min="14" max="14" width="11.00390625" style="3" bestFit="1" customWidth="1"/>
    <col min="15" max="16384" width="8.8515625" style="3" customWidth="1"/>
  </cols>
  <sheetData>
    <row r="1" spans="1:15" ht="15">
      <c r="A1" s="217" t="s">
        <v>1056</v>
      </c>
      <c r="B1" s="217"/>
      <c r="O1" s="45"/>
    </row>
    <row r="2" ht="15.75" thickBot="1">
      <c r="B2" s="9"/>
    </row>
    <row r="3" spans="1:14" ht="15.75" thickBot="1">
      <c r="A3" s="104" t="s">
        <v>1583</v>
      </c>
      <c r="B3" s="100" t="s">
        <v>1</v>
      </c>
      <c r="C3" s="100" t="s">
        <v>2</v>
      </c>
      <c r="D3" s="110" t="s">
        <v>144</v>
      </c>
      <c r="E3" s="112"/>
      <c r="F3" s="110" t="s">
        <v>79</v>
      </c>
      <c r="G3" s="112"/>
      <c r="H3" s="195" t="s">
        <v>1334</v>
      </c>
      <c r="I3" s="102" t="s">
        <v>1576</v>
      </c>
      <c r="J3" s="102"/>
      <c r="K3" s="102"/>
      <c r="L3" s="147"/>
      <c r="M3" s="125"/>
      <c r="N3" s="125"/>
    </row>
    <row r="4" spans="1:14" ht="45.75" thickBot="1">
      <c r="A4" s="104"/>
      <c r="B4" s="109"/>
      <c r="C4" s="109"/>
      <c r="D4" s="10" t="s">
        <v>751</v>
      </c>
      <c r="E4" s="100" t="s">
        <v>5</v>
      </c>
      <c r="F4" s="100" t="s">
        <v>146</v>
      </c>
      <c r="G4" s="100" t="s">
        <v>84</v>
      </c>
      <c r="H4" s="195"/>
      <c r="I4" s="102"/>
      <c r="J4" s="102"/>
      <c r="K4" s="102"/>
      <c r="L4" s="147"/>
      <c r="M4" s="125"/>
      <c r="N4" s="125"/>
    </row>
    <row r="5" spans="1:14" ht="15.75" thickBot="1">
      <c r="A5" s="104"/>
      <c r="B5" s="101"/>
      <c r="C5" s="101"/>
      <c r="D5" s="11" t="s">
        <v>4</v>
      </c>
      <c r="E5" s="101"/>
      <c r="F5" s="101"/>
      <c r="G5" s="101"/>
      <c r="H5" s="195"/>
      <c r="I5" s="48" t="s">
        <v>1588</v>
      </c>
      <c r="J5" s="48" t="s">
        <v>1578</v>
      </c>
      <c r="K5" s="48" t="s">
        <v>1579</v>
      </c>
      <c r="L5" s="147"/>
      <c r="M5" s="125"/>
      <c r="N5" s="125"/>
    </row>
    <row r="6" spans="1:15" ht="30.75" thickBot="1">
      <c r="A6" s="104" t="s">
        <v>1584</v>
      </c>
      <c r="B6" s="14" t="s">
        <v>1057</v>
      </c>
      <c r="C6" s="100" t="s">
        <v>148</v>
      </c>
      <c r="D6" s="10" t="s">
        <v>429</v>
      </c>
      <c r="E6" s="10" t="s">
        <v>230</v>
      </c>
      <c r="F6" s="100" t="s">
        <v>934</v>
      </c>
      <c r="G6" s="100" t="s">
        <v>1059</v>
      </c>
      <c r="H6" s="114" t="s">
        <v>1564</v>
      </c>
      <c r="I6" s="144">
        <f>4400*0.45*0.00336</f>
        <v>6.6528</v>
      </c>
      <c r="J6" s="144">
        <f>4400*0.55*0.00336</f>
        <v>8.1312</v>
      </c>
      <c r="K6" s="144">
        <v>0</v>
      </c>
      <c r="L6" s="147"/>
      <c r="M6" s="125"/>
      <c r="O6" s="117"/>
    </row>
    <row r="7" spans="1:15" ht="15.75" thickBot="1">
      <c r="A7" s="104"/>
      <c r="B7" s="17" t="s">
        <v>1058</v>
      </c>
      <c r="C7" s="101"/>
      <c r="D7" s="11" t="s">
        <v>430</v>
      </c>
      <c r="E7" s="11" t="s">
        <v>9</v>
      </c>
      <c r="F7" s="101"/>
      <c r="G7" s="101"/>
      <c r="H7" s="115"/>
      <c r="I7" s="146"/>
      <c r="J7" s="146"/>
      <c r="K7" s="146"/>
      <c r="L7" s="147"/>
      <c r="M7" s="125"/>
      <c r="O7" s="117"/>
    </row>
    <row r="8" spans="1:15" ht="30.75" thickBot="1">
      <c r="A8" s="104" t="s">
        <v>1585</v>
      </c>
      <c r="B8" s="14" t="s">
        <v>1060</v>
      </c>
      <c r="C8" s="100" t="s">
        <v>148</v>
      </c>
      <c r="D8" s="10" t="s">
        <v>845</v>
      </c>
      <c r="E8" s="10" t="s">
        <v>230</v>
      </c>
      <c r="F8" s="10" t="s">
        <v>1062</v>
      </c>
      <c r="G8" s="10" t="s">
        <v>1064</v>
      </c>
      <c r="H8" s="114" t="s">
        <v>1565</v>
      </c>
      <c r="I8" s="144">
        <f>13000*0.7*0.00336</f>
        <v>30.576</v>
      </c>
      <c r="J8" s="144">
        <f>13000*0.3*0.00336</f>
        <v>13.104000000000001</v>
      </c>
      <c r="K8" s="144">
        <v>0</v>
      </c>
      <c r="L8" s="147"/>
      <c r="M8" s="125"/>
      <c r="O8" s="117"/>
    </row>
    <row r="9" spans="1:15" ht="30.75" thickBot="1">
      <c r="A9" s="104"/>
      <c r="B9" s="17" t="s">
        <v>1061</v>
      </c>
      <c r="C9" s="101"/>
      <c r="D9" s="11" t="s">
        <v>136</v>
      </c>
      <c r="E9" s="11" t="s">
        <v>9</v>
      </c>
      <c r="F9" s="11" t="s">
        <v>1063</v>
      </c>
      <c r="G9" s="11" t="s">
        <v>1065</v>
      </c>
      <c r="H9" s="115"/>
      <c r="I9" s="146"/>
      <c r="J9" s="146"/>
      <c r="K9" s="146"/>
      <c r="L9" s="147"/>
      <c r="M9" s="125"/>
      <c r="O9" s="117"/>
    </row>
    <row r="10" spans="1:16" ht="45.75" thickBot="1">
      <c r="A10" s="127" t="s">
        <v>1586</v>
      </c>
      <c r="B10" s="84" t="s">
        <v>1066</v>
      </c>
      <c r="C10" s="130" t="s">
        <v>148</v>
      </c>
      <c r="D10" s="86" t="s">
        <v>1068</v>
      </c>
      <c r="E10" s="86" t="s">
        <v>230</v>
      </c>
      <c r="F10" s="86" t="s">
        <v>1069</v>
      </c>
      <c r="G10" s="86" t="s">
        <v>1070</v>
      </c>
      <c r="H10" s="148" t="s">
        <v>1566</v>
      </c>
      <c r="I10" s="144">
        <f>1022*0.00336</f>
        <v>3.43392</v>
      </c>
      <c r="J10" s="144">
        <f>198*0.00336</f>
        <v>0.66528</v>
      </c>
      <c r="K10" s="144">
        <v>0</v>
      </c>
      <c r="L10" s="161"/>
      <c r="M10" s="192"/>
      <c r="N10" s="45"/>
      <c r="O10" s="126"/>
      <c r="P10" s="45"/>
    </row>
    <row r="11" spans="1:16" ht="30.75" thickBot="1">
      <c r="A11" s="127"/>
      <c r="B11" s="85" t="s">
        <v>1067</v>
      </c>
      <c r="C11" s="131"/>
      <c r="D11" s="87" t="s">
        <v>818</v>
      </c>
      <c r="E11" s="87" t="s">
        <v>9</v>
      </c>
      <c r="F11" s="87" t="s">
        <v>1063</v>
      </c>
      <c r="G11" s="87" t="s">
        <v>1071</v>
      </c>
      <c r="H11" s="149"/>
      <c r="I11" s="146"/>
      <c r="J11" s="146"/>
      <c r="K11" s="146"/>
      <c r="L11" s="161"/>
      <c r="M11" s="192"/>
      <c r="N11" s="45"/>
      <c r="O11" s="126"/>
      <c r="P11" s="45"/>
    </row>
  </sheetData>
  <sheetProtection/>
  <mergeCells count="43">
    <mergeCell ref="A10:A11"/>
    <mergeCell ref="O8:O9"/>
    <mergeCell ref="M8:M9"/>
    <mergeCell ref="L8:L9"/>
    <mergeCell ref="N3:N5"/>
    <mergeCell ref="M3:M5"/>
    <mergeCell ref="L3:L5"/>
    <mergeCell ref="A3:A5"/>
    <mergeCell ref="L10:L11"/>
    <mergeCell ref="M6:M7"/>
    <mergeCell ref="O6:O7"/>
    <mergeCell ref="I3:K4"/>
    <mergeCell ref="I6:I7"/>
    <mergeCell ref="B3:B5"/>
    <mergeCell ref="C3:C5"/>
    <mergeCell ref="D3:E3"/>
    <mergeCell ref="K8:K9"/>
    <mergeCell ref="J8:J9"/>
    <mergeCell ref="I8:I9"/>
    <mergeCell ref="A1:B1"/>
    <mergeCell ref="A6:A7"/>
    <mergeCell ref="L6:L7"/>
    <mergeCell ref="A8:A9"/>
    <mergeCell ref="F6:F7"/>
    <mergeCell ref="G6:G7"/>
    <mergeCell ref="C8:C9"/>
    <mergeCell ref="M10:M11"/>
    <mergeCell ref="O10:O11"/>
    <mergeCell ref="J6:J7"/>
    <mergeCell ref="K6:K7"/>
    <mergeCell ref="I10:I11"/>
    <mergeCell ref="J10:J11"/>
    <mergeCell ref="K10:K11"/>
    <mergeCell ref="C10:C11"/>
    <mergeCell ref="H3:H5"/>
    <mergeCell ref="H6:H7"/>
    <mergeCell ref="H8:H9"/>
    <mergeCell ref="H10:H11"/>
    <mergeCell ref="F4:F5"/>
    <mergeCell ref="G4:G5"/>
    <mergeCell ref="F3:G3"/>
    <mergeCell ref="E4:E5"/>
    <mergeCell ref="C6:C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4"/>
  </sheetPr>
  <dimension ref="A1:L24"/>
  <sheetViews>
    <sheetView zoomScalePageLayoutView="0" workbookViewId="0" topLeftCell="A1">
      <selection activeCell="A1" sqref="A1:B1"/>
    </sheetView>
  </sheetViews>
  <sheetFormatPr defaultColWidth="8.8515625" defaultRowHeight="15"/>
  <cols>
    <col min="1" max="1" width="8.8515625" style="3" customWidth="1"/>
    <col min="2" max="2" width="45.7109375" style="3" customWidth="1"/>
    <col min="3" max="9" width="8.8515625" style="3" customWidth="1"/>
    <col min="10" max="12" width="14.00390625" style="3" customWidth="1"/>
    <col min="13" max="16384" width="8.8515625" style="3" customWidth="1"/>
  </cols>
  <sheetData>
    <row r="1" spans="1:2" ht="15">
      <c r="A1" s="217" t="s">
        <v>20</v>
      </c>
      <c r="B1" s="217"/>
    </row>
    <row r="2" ht="15.75" thickBot="1">
      <c r="B2" s="9"/>
    </row>
    <row r="3" spans="1:12" ht="29.25" customHeight="1" thickBot="1">
      <c r="A3" s="114" t="s">
        <v>1583</v>
      </c>
      <c r="B3" s="100" t="s">
        <v>1</v>
      </c>
      <c r="C3" s="100" t="s">
        <v>2</v>
      </c>
      <c r="D3" s="110" t="s">
        <v>21</v>
      </c>
      <c r="E3" s="111"/>
      <c r="F3" s="111"/>
      <c r="G3" s="112"/>
      <c r="H3" s="100" t="s">
        <v>5</v>
      </c>
      <c r="I3" s="100" t="s">
        <v>1334</v>
      </c>
      <c r="J3" s="102" t="s">
        <v>1575</v>
      </c>
      <c r="K3" s="102"/>
      <c r="L3" s="102"/>
    </row>
    <row r="4" spans="1:12" ht="15" customHeight="1" thickBot="1">
      <c r="A4" s="116"/>
      <c r="B4" s="109"/>
      <c r="C4" s="109"/>
      <c r="D4" s="25" t="s">
        <v>22</v>
      </c>
      <c r="E4" s="25" t="s">
        <v>23</v>
      </c>
      <c r="F4" s="13" t="s">
        <v>24</v>
      </c>
      <c r="G4" s="13" t="s">
        <v>25</v>
      </c>
      <c r="H4" s="109"/>
      <c r="I4" s="109"/>
      <c r="J4" s="102"/>
      <c r="K4" s="102"/>
      <c r="L4" s="102"/>
    </row>
    <row r="5" spans="1:12" ht="15" customHeight="1" thickBot="1">
      <c r="A5" s="115"/>
      <c r="B5" s="101"/>
      <c r="C5" s="101"/>
      <c r="D5" s="110" t="s">
        <v>26</v>
      </c>
      <c r="E5" s="111"/>
      <c r="F5" s="111"/>
      <c r="G5" s="112"/>
      <c r="H5" s="101"/>
      <c r="I5" s="101"/>
      <c r="J5" s="39" t="s">
        <v>1572</v>
      </c>
      <c r="K5" s="39" t="s">
        <v>1573</v>
      </c>
      <c r="L5" s="39" t="s">
        <v>1574</v>
      </c>
    </row>
    <row r="6" spans="1:12" ht="15.75" thickBot="1">
      <c r="A6" s="114" t="s">
        <v>1584</v>
      </c>
      <c r="B6" s="14" t="s">
        <v>27</v>
      </c>
      <c r="C6" s="100" t="s">
        <v>1571</v>
      </c>
      <c r="D6" s="100" t="s">
        <v>29</v>
      </c>
      <c r="E6" s="107">
        <v>1.2</v>
      </c>
      <c r="F6" s="100" t="s">
        <v>30</v>
      </c>
      <c r="G6" s="100" t="s">
        <v>30</v>
      </c>
      <c r="H6" s="100" t="s">
        <v>9</v>
      </c>
      <c r="I6" s="100" t="s">
        <v>1342</v>
      </c>
      <c r="J6" s="113">
        <v>0</v>
      </c>
      <c r="K6" s="113">
        <v>0</v>
      </c>
      <c r="L6" s="113">
        <f>561*0.00336</f>
        <v>1.88496</v>
      </c>
    </row>
    <row r="7" spans="1:12" ht="15.75" thickBot="1">
      <c r="A7" s="115"/>
      <c r="B7" s="17" t="s">
        <v>28</v>
      </c>
      <c r="C7" s="101"/>
      <c r="D7" s="101"/>
      <c r="E7" s="108"/>
      <c r="F7" s="101"/>
      <c r="G7" s="101"/>
      <c r="H7" s="101"/>
      <c r="I7" s="101"/>
      <c r="J7" s="113"/>
      <c r="K7" s="113"/>
      <c r="L7" s="113"/>
    </row>
    <row r="8" spans="1:12" ht="30.75" thickBot="1">
      <c r="A8" s="114" t="s">
        <v>1585</v>
      </c>
      <c r="B8" s="14" t="s">
        <v>31</v>
      </c>
      <c r="C8" s="100" t="s">
        <v>1085</v>
      </c>
      <c r="D8" s="105">
        <v>1.17</v>
      </c>
      <c r="E8" s="100" t="s">
        <v>33</v>
      </c>
      <c r="F8" s="100" t="s">
        <v>34</v>
      </c>
      <c r="G8" s="100" t="s">
        <v>35</v>
      </c>
      <c r="H8" s="100" t="s">
        <v>9</v>
      </c>
      <c r="I8" s="100" t="s">
        <v>1343</v>
      </c>
      <c r="J8" s="113">
        <v>0</v>
      </c>
      <c r="K8" s="113">
        <f>2079*0.00336</f>
        <v>6.9854400000000005</v>
      </c>
      <c r="L8" s="113">
        <f>570*0.00336</f>
        <v>1.9152</v>
      </c>
    </row>
    <row r="9" spans="1:12" ht="15.75" thickBot="1">
      <c r="A9" s="115"/>
      <c r="B9" s="17" t="s">
        <v>32</v>
      </c>
      <c r="C9" s="101"/>
      <c r="D9" s="106"/>
      <c r="E9" s="101"/>
      <c r="F9" s="101"/>
      <c r="G9" s="101"/>
      <c r="H9" s="101"/>
      <c r="I9" s="101"/>
      <c r="J9" s="113"/>
      <c r="K9" s="113"/>
      <c r="L9" s="113"/>
    </row>
    <row r="10" spans="1:12" ht="18" thickBot="1">
      <c r="A10" s="63" t="s">
        <v>1586</v>
      </c>
      <c r="B10" s="12" t="s">
        <v>36</v>
      </c>
      <c r="C10" s="13" t="s">
        <v>1085</v>
      </c>
      <c r="D10" s="13" t="s">
        <v>37</v>
      </c>
      <c r="E10" s="13" t="s">
        <v>38</v>
      </c>
      <c r="F10" s="13" t="s">
        <v>39</v>
      </c>
      <c r="G10" s="13" t="s">
        <v>40</v>
      </c>
      <c r="H10" s="13" t="s">
        <v>9</v>
      </c>
      <c r="I10" s="13" t="s">
        <v>1344</v>
      </c>
      <c r="J10" s="94">
        <v>0</v>
      </c>
      <c r="K10" s="94">
        <f>99*0.00336</f>
        <v>0.33264</v>
      </c>
      <c r="L10" s="94">
        <f>1122*0.00336</f>
        <v>3.76992</v>
      </c>
    </row>
    <row r="11" spans="1:12" ht="30.75" thickBot="1">
      <c r="A11" s="63" t="s">
        <v>1587</v>
      </c>
      <c r="B11" s="46" t="s">
        <v>41</v>
      </c>
      <c r="C11" s="25" t="s">
        <v>1085</v>
      </c>
      <c r="D11" s="25" t="s">
        <v>42</v>
      </c>
      <c r="E11" s="25" t="s">
        <v>43</v>
      </c>
      <c r="F11" s="26">
        <v>4.07</v>
      </c>
      <c r="G11" s="25" t="s">
        <v>44</v>
      </c>
      <c r="H11" s="25" t="s">
        <v>9</v>
      </c>
      <c r="I11" s="25" t="s">
        <v>1345</v>
      </c>
      <c r="J11" s="94">
        <f>3500*0.7*0.00336</f>
        <v>8.232000000000001</v>
      </c>
      <c r="K11" s="94">
        <f>3500*0.3*0.00336</f>
        <v>3.528</v>
      </c>
      <c r="L11" s="94">
        <v>0</v>
      </c>
    </row>
    <row r="12" spans="1:12" ht="30.75" thickBot="1">
      <c r="A12" s="63" t="s">
        <v>1589</v>
      </c>
      <c r="B12" s="46" t="s">
        <v>45</v>
      </c>
      <c r="C12" s="25" t="s">
        <v>1085</v>
      </c>
      <c r="D12" s="25" t="s">
        <v>37</v>
      </c>
      <c r="E12" s="25" t="s">
        <v>46</v>
      </c>
      <c r="F12" s="26">
        <v>4.08</v>
      </c>
      <c r="G12" s="25" t="s">
        <v>47</v>
      </c>
      <c r="H12" s="25" t="s">
        <v>9</v>
      </c>
      <c r="I12" s="25" t="s">
        <v>1346</v>
      </c>
      <c r="J12" s="94">
        <f>5000*0.7*0.00336</f>
        <v>11.76</v>
      </c>
      <c r="K12" s="94">
        <f>5000*0.3*0.00336</f>
        <v>5.04</v>
      </c>
      <c r="L12" s="94">
        <v>0</v>
      </c>
    </row>
    <row r="13" spans="1:12" ht="18" thickBot="1">
      <c r="A13" s="63" t="s">
        <v>1590</v>
      </c>
      <c r="B13" s="12" t="s">
        <v>48</v>
      </c>
      <c r="C13" s="13" t="s">
        <v>1085</v>
      </c>
      <c r="D13" s="13" t="s">
        <v>49</v>
      </c>
      <c r="E13" s="13" t="s">
        <v>50</v>
      </c>
      <c r="F13" s="26">
        <v>1.08</v>
      </c>
      <c r="G13" s="13" t="s">
        <v>30</v>
      </c>
      <c r="H13" s="13" t="s">
        <v>9</v>
      </c>
      <c r="I13" s="13" t="s">
        <v>1347</v>
      </c>
      <c r="J13" s="94">
        <f>5300*0.7*0.00336</f>
        <v>12.465599999999998</v>
      </c>
      <c r="K13" s="94">
        <f>5300*0.3*0.00336</f>
        <v>5.3424000000000005</v>
      </c>
      <c r="L13" s="94">
        <v>0</v>
      </c>
    </row>
    <row r="14" spans="1:12" ht="30.75" thickBot="1">
      <c r="A14" s="63" t="s">
        <v>1591</v>
      </c>
      <c r="B14" s="12" t="s">
        <v>51</v>
      </c>
      <c r="C14" s="13" t="s">
        <v>1087</v>
      </c>
      <c r="D14" s="26">
        <v>2.16</v>
      </c>
      <c r="E14" s="13" t="s">
        <v>52</v>
      </c>
      <c r="F14" s="13" t="s">
        <v>53</v>
      </c>
      <c r="G14" s="13" t="s">
        <v>30</v>
      </c>
      <c r="H14" s="13" t="s">
        <v>9</v>
      </c>
      <c r="I14" s="13" t="s">
        <v>1348</v>
      </c>
      <c r="J14" s="94">
        <v>0</v>
      </c>
      <c r="K14" s="94">
        <f>33*0.00336</f>
        <v>0.11088</v>
      </c>
      <c r="L14" s="94">
        <f>312*0.00336</f>
        <v>1.0483200000000001</v>
      </c>
    </row>
    <row r="15" spans="1:12" ht="30.75" thickBot="1">
      <c r="A15" s="63" t="s">
        <v>1592</v>
      </c>
      <c r="B15" s="12" t="s">
        <v>54</v>
      </c>
      <c r="C15" s="13" t="s">
        <v>1087</v>
      </c>
      <c r="D15" s="13" t="s">
        <v>55</v>
      </c>
      <c r="E15" s="13" t="s">
        <v>56</v>
      </c>
      <c r="F15" s="13" t="s">
        <v>57</v>
      </c>
      <c r="G15" s="13" t="s">
        <v>30</v>
      </c>
      <c r="H15" s="13" t="s">
        <v>9</v>
      </c>
      <c r="I15" s="13" t="s">
        <v>1349</v>
      </c>
      <c r="J15" s="94">
        <v>0</v>
      </c>
      <c r="K15" s="94">
        <v>0</v>
      </c>
      <c r="L15" s="94">
        <f>114*0.00336</f>
        <v>0.38304</v>
      </c>
    </row>
    <row r="16" spans="1:12" ht="30.75" thickBot="1">
      <c r="A16" s="63" t="s">
        <v>1593</v>
      </c>
      <c r="B16" s="12" t="s">
        <v>58</v>
      </c>
      <c r="C16" s="13" t="s">
        <v>1087</v>
      </c>
      <c r="D16" s="13" t="s">
        <v>59</v>
      </c>
      <c r="E16" s="13" t="s">
        <v>60</v>
      </c>
      <c r="F16" s="13" t="s">
        <v>61</v>
      </c>
      <c r="G16" s="13" t="s">
        <v>30</v>
      </c>
      <c r="H16" s="13" t="s">
        <v>9</v>
      </c>
      <c r="I16" s="13" t="s">
        <v>1350</v>
      </c>
      <c r="J16" s="94">
        <v>0</v>
      </c>
      <c r="K16" s="94">
        <f>759*0.00336</f>
        <v>2.55024</v>
      </c>
      <c r="L16" s="94">
        <f>1864*0.00336</f>
        <v>6.26304</v>
      </c>
    </row>
    <row r="17" spans="1:12" ht="30.75" thickBot="1">
      <c r="A17" s="63" t="s">
        <v>1594</v>
      </c>
      <c r="B17" s="12" t="s">
        <v>62</v>
      </c>
      <c r="C17" s="13" t="s">
        <v>1087</v>
      </c>
      <c r="D17" s="13" t="s">
        <v>56</v>
      </c>
      <c r="E17" s="29">
        <v>1.02</v>
      </c>
      <c r="F17" s="13" t="s">
        <v>63</v>
      </c>
      <c r="G17" s="13" t="s">
        <v>30</v>
      </c>
      <c r="H17" s="13" t="s">
        <v>9</v>
      </c>
      <c r="I17" s="13" t="s">
        <v>1351</v>
      </c>
      <c r="J17" s="94">
        <f>0.49*0.00336</f>
        <v>0.0016464000000000001</v>
      </c>
      <c r="K17" s="94">
        <f>99*0.00336</f>
        <v>0.33264</v>
      </c>
      <c r="L17" s="94">
        <f>507*0.00336</f>
        <v>1.7035200000000001</v>
      </c>
    </row>
    <row r="18" spans="1:12" ht="30.75" thickBot="1">
      <c r="A18" s="63" t="s">
        <v>1595</v>
      </c>
      <c r="B18" s="12" t="s">
        <v>64</v>
      </c>
      <c r="C18" s="13" t="s">
        <v>1087</v>
      </c>
      <c r="D18" s="13" t="s">
        <v>65</v>
      </c>
      <c r="E18" s="13" t="s">
        <v>66</v>
      </c>
      <c r="F18" s="26">
        <v>2.02</v>
      </c>
      <c r="G18" s="13" t="s">
        <v>30</v>
      </c>
      <c r="H18" s="13" t="s">
        <v>9</v>
      </c>
      <c r="I18" s="13" t="s">
        <v>1352</v>
      </c>
      <c r="J18" s="94">
        <v>0</v>
      </c>
      <c r="K18" s="94">
        <f>165*0.00336</f>
        <v>0.5544</v>
      </c>
      <c r="L18" s="94">
        <f>625*0.00336</f>
        <v>2.1</v>
      </c>
    </row>
    <row r="19" spans="1:12" ht="30.75" thickBot="1">
      <c r="A19" s="114" t="s">
        <v>1596</v>
      </c>
      <c r="B19" s="73" t="s">
        <v>67</v>
      </c>
      <c r="C19" s="100" t="s">
        <v>1087</v>
      </c>
      <c r="D19" s="105">
        <v>1.11</v>
      </c>
      <c r="E19" s="100" t="s">
        <v>68</v>
      </c>
      <c r="F19" s="107">
        <v>2.03</v>
      </c>
      <c r="G19" s="100" t="s">
        <v>30</v>
      </c>
      <c r="H19" s="100" t="s">
        <v>9</v>
      </c>
      <c r="I19" s="100" t="s">
        <v>1353</v>
      </c>
      <c r="J19" s="113">
        <v>0</v>
      </c>
      <c r="K19" s="113">
        <v>0</v>
      </c>
      <c r="L19" s="113">
        <f>114*0.00336</f>
        <v>0.38304</v>
      </c>
    </row>
    <row r="20" spans="1:12" ht="15.75" thickBot="1">
      <c r="A20" s="115"/>
      <c r="B20" s="74" t="s">
        <v>28</v>
      </c>
      <c r="C20" s="101"/>
      <c r="D20" s="106"/>
      <c r="E20" s="101"/>
      <c r="F20" s="108"/>
      <c r="G20" s="101"/>
      <c r="H20" s="101"/>
      <c r="I20" s="101"/>
      <c r="J20" s="113"/>
      <c r="K20" s="113"/>
      <c r="L20" s="113"/>
    </row>
    <row r="21" spans="1:12" ht="15.75" thickBot="1">
      <c r="A21" s="114" t="s">
        <v>1597</v>
      </c>
      <c r="B21" s="14" t="s">
        <v>69</v>
      </c>
      <c r="C21" s="100" t="s">
        <v>1085</v>
      </c>
      <c r="D21" s="100" t="s">
        <v>71</v>
      </c>
      <c r="E21" s="100" t="s">
        <v>65</v>
      </c>
      <c r="F21" s="105">
        <v>1.08</v>
      </c>
      <c r="G21" s="105">
        <v>1.27</v>
      </c>
      <c r="H21" s="100" t="s">
        <v>9</v>
      </c>
      <c r="I21" s="100" t="s">
        <v>1354</v>
      </c>
      <c r="J21" s="113">
        <v>0</v>
      </c>
      <c r="K21" s="113">
        <v>0</v>
      </c>
      <c r="L21" s="113">
        <f>267*0.00336</f>
        <v>0.89712</v>
      </c>
    </row>
    <row r="22" spans="1:12" ht="15.75" thickBot="1">
      <c r="A22" s="115"/>
      <c r="B22" s="17" t="s">
        <v>70</v>
      </c>
      <c r="C22" s="101"/>
      <c r="D22" s="101"/>
      <c r="E22" s="101"/>
      <c r="F22" s="106"/>
      <c r="G22" s="106"/>
      <c r="H22" s="101"/>
      <c r="I22" s="101"/>
      <c r="J22" s="113"/>
      <c r="K22" s="113"/>
      <c r="L22" s="113"/>
    </row>
    <row r="23" spans="1:12" ht="30.75" thickBot="1">
      <c r="A23" s="114" t="s">
        <v>1598</v>
      </c>
      <c r="B23" s="14" t="s">
        <v>72</v>
      </c>
      <c r="C23" s="100" t="s">
        <v>1085</v>
      </c>
      <c r="D23" s="100" t="s">
        <v>74</v>
      </c>
      <c r="E23" s="100" t="s">
        <v>75</v>
      </c>
      <c r="F23" s="100" t="s">
        <v>76</v>
      </c>
      <c r="G23" s="100" t="s">
        <v>30</v>
      </c>
      <c r="H23" s="100" t="s">
        <v>9</v>
      </c>
      <c r="I23" s="100" t="s">
        <v>1355</v>
      </c>
      <c r="J23" s="113">
        <v>0</v>
      </c>
      <c r="K23" s="113">
        <v>0</v>
      </c>
      <c r="L23" s="113">
        <f>561*0.00336</f>
        <v>1.88496</v>
      </c>
    </row>
    <row r="24" spans="1:12" ht="15.75" thickBot="1">
      <c r="A24" s="115"/>
      <c r="B24" s="17" t="s">
        <v>73</v>
      </c>
      <c r="C24" s="101"/>
      <c r="D24" s="101"/>
      <c r="E24" s="101"/>
      <c r="F24" s="101"/>
      <c r="G24" s="101"/>
      <c r="H24" s="101"/>
      <c r="I24" s="101"/>
      <c r="J24" s="113"/>
      <c r="K24" s="113"/>
      <c r="L24" s="113"/>
    </row>
  </sheetData>
  <sheetProtection/>
  <mergeCells count="64">
    <mergeCell ref="A23:A24"/>
    <mergeCell ref="A1:B1"/>
    <mergeCell ref="A3:A5"/>
    <mergeCell ref="A6:A7"/>
    <mergeCell ref="A8:A9"/>
    <mergeCell ref="A19:A20"/>
    <mergeCell ref="A21:A22"/>
    <mergeCell ref="B3:B5"/>
    <mergeCell ref="J23:J24"/>
    <mergeCell ref="K23:K24"/>
    <mergeCell ref="L23:L24"/>
    <mergeCell ref="J19:J20"/>
    <mergeCell ref="K19:K20"/>
    <mergeCell ref="L19:L20"/>
    <mergeCell ref="J21:J22"/>
    <mergeCell ref="K21:K22"/>
    <mergeCell ref="L21:L22"/>
    <mergeCell ref="J3:L4"/>
    <mergeCell ref="J6:J7"/>
    <mergeCell ref="K6:K7"/>
    <mergeCell ref="L6:L7"/>
    <mergeCell ref="J8:J9"/>
    <mergeCell ref="K8:K9"/>
    <mergeCell ref="L8:L9"/>
    <mergeCell ref="I23:I24"/>
    <mergeCell ref="I3:I5"/>
    <mergeCell ref="I6:I7"/>
    <mergeCell ref="I8:I9"/>
    <mergeCell ref="I21:I22"/>
    <mergeCell ref="I19:I20"/>
    <mergeCell ref="C3:C5"/>
    <mergeCell ref="D3:G3"/>
    <mergeCell ref="H3:H5"/>
    <mergeCell ref="D5:G5"/>
    <mergeCell ref="C6:C7"/>
    <mergeCell ref="D6:D7"/>
    <mergeCell ref="E6:E7"/>
    <mergeCell ref="F6:F7"/>
    <mergeCell ref="G6:G7"/>
    <mergeCell ref="H6:H7"/>
    <mergeCell ref="C8:C9"/>
    <mergeCell ref="D8:D9"/>
    <mergeCell ref="E8:E9"/>
    <mergeCell ref="F8:F9"/>
    <mergeCell ref="G8:G9"/>
    <mergeCell ref="H8:H9"/>
    <mergeCell ref="C19:C20"/>
    <mergeCell ref="D19:D20"/>
    <mergeCell ref="E19:E20"/>
    <mergeCell ref="F19:F20"/>
    <mergeCell ref="G19:G20"/>
    <mergeCell ref="H19:H20"/>
    <mergeCell ref="C21:C22"/>
    <mergeCell ref="D21:D22"/>
    <mergeCell ref="E21:E22"/>
    <mergeCell ref="F21:F22"/>
    <mergeCell ref="G21:G22"/>
    <mergeCell ref="H21:H22"/>
    <mergeCell ref="C23:C24"/>
    <mergeCell ref="D23:D24"/>
    <mergeCell ref="E23:E24"/>
    <mergeCell ref="F23:F24"/>
    <mergeCell ref="G23:G24"/>
    <mergeCell ref="H23:H2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4"/>
  </sheetPr>
  <dimension ref="A1:N52"/>
  <sheetViews>
    <sheetView zoomScalePageLayoutView="0" workbookViewId="0" topLeftCell="D1">
      <selection activeCell="D1" sqref="D1:E1"/>
    </sheetView>
  </sheetViews>
  <sheetFormatPr defaultColWidth="28.7109375" defaultRowHeight="15"/>
  <cols>
    <col min="1" max="1" width="7.57421875" style="35" customWidth="1"/>
    <col min="2" max="2" width="28.7109375" style="3" customWidth="1"/>
    <col min="3" max="10" width="13.00390625" style="3" customWidth="1"/>
    <col min="11" max="11" width="12.00390625" style="3" bestFit="1" customWidth="1"/>
    <col min="12" max="14" width="17.00390625" style="3" customWidth="1"/>
    <col min="15" max="16384" width="28.7109375" style="3" customWidth="1"/>
  </cols>
  <sheetData>
    <row r="1" spans="1:5" ht="15">
      <c r="A1" s="103" t="s">
        <v>77</v>
      </c>
      <c r="B1" s="103"/>
      <c r="D1" s="217" t="s">
        <v>1648</v>
      </c>
      <c r="E1" s="217"/>
    </row>
    <row r="2" ht="15.75" thickBot="1">
      <c r="B2" s="9"/>
    </row>
    <row r="3" spans="1:14" ht="15.75" thickBot="1">
      <c r="A3" s="114" t="s">
        <v>1583</v>
      </c>
      <c r="B3" s="100" t="s">
        <v>1</v>
      </c>
      <c r="C3" s="100" t="s">
        <v>2</v>
      </c>
      <c r="D3" s="110" t="s">
        <v>78</v>
      </c>
      <c r="E3" s="111"/>
      <c r="F3" s="111"/>
      <c r="G3" s="112"/>
      <c r="H3" s="110" t="s">
        <v>79</v>
      </c>
      <c r="I3" s="111"/>
      <c r="J3" s="111"/>
      <c r="K3" s="119" t="s">
        <v>1334</v>
      </c>
      <c r="L3" s="122" t="s">
        <v>1575</v>
      </c>
      <c r="M3" s="122"/>
      <c r="N3" s="122"/>
    </row>
    <row r="4" spans="1:14" ht="15.75" thickBot="1">
      <c r="A4" s="116"/>
      <c r="B4" s="109"/>
      <c r="C4" s="109"/>
      <c r="D4" s="13" t="s">
        <v>80</v>
      </c>
      <c r="E4" s="13" t="s">
        <v>81</v>
      </c>
      <c r="F4" s="13" t="s">
        <v>82</v>
      </c>
      <c r="G4" s="100" t="s">
        <v>5</v>
      </c>
      <c r="H4" s="110" t="s">
        <v>83</v>
      </c>
      <c r="I4" s="112"/>
      <c r="J4" s="100" t="s">
        <v>84</v>
      </c>
      <c r="K4" s="120"/>
      <c r="L4" s="122"/>
      <c r="M4" s="122"/>
      <c r="N4" s="122"/>
    </row>
    <row r="5" spans="1:14" ht="15.75" thickBot="1">
      <c r="A5" s="115"/>
      <c r="B5" s="101"/>
      <c r="C5" s="101"/>
      <c r="D5" s="110" t="s">
        <v>26</v>
      </c>
      <c r="E5" s="111"/>
      <c r="F5" s="112"/>
      <c r="G5" s="101"/>
      <c r="H5" s="13" t="s">
        <v>85</v>
      </c>
      <c r="I5" s="13" t="s">
        <v>86</v>
      </c>
      <c r="J5" s="101"/>
      <c r="K5" s="120"/>
      <c r="L5" s="41" t="s">
        <v>1572</v>
      </c>
      <c r="M5" s="41" t="s">
        <v>1573</v>
      </c>
      <c r="N5" s="41" t="s">
        <v>1574</v>
      </c>
    </row>
    <row r="6" spans="1:14" ht="18" customHeight="1" thickBot="1">
      <c r="A6" s="114" t="s">
        <v>1584</v>
      </c>
      <c r="B6" s="18" t="s">
        <v>1093</v>
      </c>
      <c r="C6" s="100" t="s">
        <v>1086</v>
      </c>
      <c r="D6" s="10" t="s">
        <v>90</v>
      </c>
      <c r="E6" s="10" t="s">
        <v>91</v>
      </c>
      <c r="F6" s="10" t="s">
        <v>93</v>
      </c>
      <c r="G6" s="10" t="s">
        <v>95</v>
      </c>
      <c r="H6" s="10" t="s">
        <v>1094</v>
      </c>
      <c r="I6" s="10" t="s">
        <v>1095</v>
      </c>
      <c r="J6" s="20" t="s">
        <v>96</v>
      </c>
      <c r="K6" s="121" t="s">
        <v>1356</v>
      </c>
      <c r="L6" s="118">
        <f>244*0.00336</f>
        <v>0.81984</v>
      </c>
      <c r="M6" s="118">
        <f>4356*0.00336</f>
        <v>14.63616</v>
      </c>
      <c r="N6" s="118">
        <v>0</v>
      </c>
    </row>
    <row r="7" spans="1:14" ht="18" thickBot="1">
      <c r="A7" s="116"/>
      <c r="B7" s="15" t="s">
        <v>87</v>
      </c>
      <c r="C7" s="109"/>
      <c r="D7" s="16" t="s">
        <v>75</v>
      </c>
      <c r="E7" s="16" t="s">
        <v>92</v>
      </c>
      <c r="F7" s="16" t="s">
        <v>94</v>
      </c>
      <c r="G7" s="16" t="s">
        <v>9</v>
      </c>
      <c r="H7" s="16" t="s">
        <v>1096</v>
      </c>
      <c r="I7" s="16" t="s">
        <v>1097</v>
      </c>
      <c r="J7" s="21" t="s">
        <v>97</v>
      </c>
      <c r="K7" s="121"/>
      <c r="L7" s="118"/>
      <c r="M7" s="118"/>
      <c r="N7" s="118"/>
    </row>
    <row r="8" spans="1:14" ht="15.75" thickBot="1">
      <c r="A8" s="116"/>
      <c r="B8" s="15" t="s">
        <v>88</v>
      </c>
      <c r="C8" s="109"/>
      <c r="D8" s="16"/>
      <c r="E8" s="16"/>
      <c r="F8" s="16"/>
      <c r="G8" s="16"/>
      <c r="H8" s="16"/>
      <c r="I8" s="16"/>
      <c r="J8" s="21"/>
      <c r="K8" s="121"/>
      <c r="L8" s="118"/>
      <c r="M8" s="118"/>
      <c r="N8" s="118"/>
    </row>
    <row r="9" spans="1:14" ht="15.75" thickBot="1">
      <c r="A9" s="115"/>
      <c r="B9" s="17" t="s">
        <v>89</v>
      </c>
      <c r="C9" s="101"/>
      <c r="D9" s="11"/>
      <c r="E9" s="11"/>
      <c r="F9" s="11"/>
      <c r="G9" s="11"/>
      <c r="H9" s="11"/>
      <c r="I9" s="11"/>
      <c r="J9" s="22"/>
      <c r="K9" s="121"/>
      <c r="L9" s="118"/>
      <c r="M9" s="118"/>
      <c r="N9" s="118"/>
    </row>
    <row r="10" spans="1:14" ht="18" customHeight="1" thickBot="1">
      <c r="A10" s="114" t="s">
        <v>1585</v>
      </c>
      <c r="B10" s="18" t="s">
        <v>1093</v>
      </c>
      <c r="C10" s="100" t="s">
        <v>1086</v>
      </c>
      <c r="D10" s="10" t="s">
        <v>90</v>
      </c>
      <c r="E10" s="10" t="s">
        <v>100</v>
      </c>
      <c r="F10" s="10" t="s">
        <v>102</v>
      </c>
      <c r="G10" s="10" t="s">
        <v>95</v>
      </c>
      <c r="H10" s="10" t="s">
        <v>1098</v>
      </c>
      <c r="I10" s="10" t="s">
        <v>1099</v>
      </c>
      <c r="J10" s="20" t="s">
        <v>96</v>
      </c>
      <c r="K10" s="121" t="s">
        <v>1357</v>
      </c>
      <c r="L10" s="118">
        <f>149*0.00336</f>
        <v>0.50064</v>
      </c>
      <c r="M10" s="118">
        <f>3564*0.00336</f>
        <v>11.97504</v>
      </c>
      <c r="N10" s="118">
        <v>0</v>
      </c>
    </row>
    <row r="11" spans="1:14" ht="18" thickBot="1">
      <c r="A11" s="116"/>
      <c r="B11" s="15" t="s">
        <v>87</v>
      </c>
      <c r="C11" s="109"/>
      <c r="D11" s="16" t="s">
        <v>75</v>
      </c>
      <c r="E11" s="16" t="s">
        <v>101</v>
      </c>
      <c r="F11" s="16" t="s">
        <v>103</v>
      </c>
      <c r="G11" s="16" t="s">
        <v>9</v>
      </c>
      <c r="H11" s="16" t="s">
        <v>1096</v>
      </c>
      <c r="I11" s="16" t="s">
        <v>1097</v>
      </c>
      <c r="J11" s="21" t="s">
        <v>97</v>
      </c>
      <c r="K11" s="121"/>
      <c r="L11" s="118"/>
      <c r="M11" s="118"/>
      <c r="N11" s="118"/>
    </row>
    <row r="12" spans="1:14" ht="15.75" thickBot="1">
      <c r="A12" s="116"/>
      <c r="B12" s="15" t="s">
        <v>98</v>
      </c>
      <c r="C12" s="109"/>
      <c r="D12" s="16"/>
      <c r="E12" s="16"/>
      <c r="F12" s="16"/>
      <c r="G12" s="16"/>
      <c r="H12" s="16"/>
      <c r="I12" s="16"/>
      <c r="J12" s="21"/>
      <c r="K12" s="121"/>
      <c r="L12" s="118"/>
      <c r="M12" s="118"/>
      <c r="N12" s="118"/>
    </row>
    <row r="13" spans="1:14" ht="15.75" thickBot="1">
      <c r="A13" s="115"/>
      <c r="B13" s="17" t="s">
        <v>99</v>
      </c>
      <c r="C13" s="101"/>
      <c r="D13" s="11"/>
      <c r="E13" s="11"/>
      <c r="F13" s="11"/>
      <c r="G13" s="11"/>
      <c r="H13" s="11"/>
      <c r="I13" s="11"/>
      <c r="J13" s="22"/>
      <c r="K13" s="121"/>
      <c r="L13" s="118"/>
      <c r="M13" s="118"/>
      <c r="N13" s="118"/>
    </row>
    <row r="14" spans="1:14" ht="18" customHeight="1" thickBot="1">
      <c r="A14" s="124" t="s">
        <v>1586</v>
      </c>
      <c r="B14" s="18" t="s">
        <v>1093</v>
      </c>
      <c r="C14" s="100" t="s">
        <v>1086</v>
      </c>
      <c r="D14" s="10" t="s">
        <v>93</v>
      </c>
      <c r="E14" s="10" t="s">
        <v>105</v>
      </c>
      <c r="F14" s="10" t="s">
        <v>107</v>
      </c>
      <c r="G14" s="10" t="s">
        <v>95</v>
      </c>
      <c r="H14" s="10" t="s">
        <v>1100</v>
      </c>
      <c r="I14" s="10" t="s">
        <v>1101</v>
      </c>
      <c r="J14" s="20" t="s">
        <v>96</v>
      </c>
      <c r="K14" s="121" t="s">
        <v>1358</v>
      </c>
      <c r="L14" s="118">
        <f>250*0.00336</f>
        <v>0.8400000000000001</v>
      </c>
      <c r="M14" s="118">
        <f>5511*0.00336</f>
        <v>18.51696</v>
      </c>
      <c r="N14" s="118">
        <v>0</v>
      </c>
    </row>
    <row r="15" spans="1:14" ht="18" thickBot="1">
      <c r="A15" s="116"/>
      <c r="B15" s="15" t="s">
        <v>87</v>
      </c>
      <c r="C15" s="109"/>
      <c r="D15" s="16" t="s">
        <v>76</v>
      </c>
      <c r="E15" s="16" t="s">
        <v>106</v>
      </c>
      <c r="F15" s="16" t="s">
        <v>108</v>
      </c>
      <c r="G15" s="16" t="s">
        <v>9</v>
      </c>
      <c r="H15" s="16" t="s">
        <v>1102</v>
      </c>
      <c r="I15" s="16" t="s">
        <v>1103</v>
      </c>
      <c r="J15" s="21" t="s">
        <v>109</v>
      </c>
      <c r="K15" s="121"/>
      <c r="L15" s="118"/>
      <c r="M15" s="118"/>
      <c r="N15" s="118"/>
    </row>
    <row r="16" spans="1:14" ht="18" thickBot="1">
      <c r="A16" s="116"/>
      <c r="B16" s="15" t="s">
        <v>104</v>
      </c>
      <c r="C16" s="109"/>
      <c r="D16" s="16"/>
      <c r="E16" s="16"/>
      <c r="F16" s="16"/>
      <c r="G16" s="16"/>
      <c r="H16" s="16" t="s">
        <v>1104</v>
      </c>
      <c r="I16" s="16" t="s">
        <v>1105</v>
      </c>
      <c r="J16" s="21" t="s">
        <v>97</v>
      </c>
      <c r="K16" s="121"/>
      <c r="L16" s="118"/>
      <c r="M16" s="118"/>
      <c r="N16" s="118"/>
    </row>
    <row r="17" spans="1:14" ht="15.75" thickBot="1">
      <c r="A17" s="115"/>
      <c r="B17" s="17" t="s">
        <v>89</v>
      </c>
      <c r="C17" s="101"/>
      <c r="D17" s="11"/>
      <c r="E17" s="11"/>
      <c r="F17" s="11"/>
      <c r="G17" s="11"/>
      <c r="H17" s="11"/>
      <c r="I17" s="11"/>
      <c r="J17" s="22"/>
      <c r="K17" s="121"/>
      <c r="L17" s="118"/>
      <c r="M17" s="118"/>
      <c r="N17" s="118"/>
    </row>
    <row r="18" spans="1:14" ht="18" customHeight="1" thickBot="1">
      <c r="A18" s="114" t="s">
        <v>1587</v>
      </c>
      <c r="B18" s="18" t="s">
        <v>1093</v>
      </c>
      <c r="C18" s="100" t="s">
        <v>1086</v>
      </c>
      <c r="D18" s="10" t="s">
        <v>90</v>
      </c>
      <c r="E18" s="10" t="s">
        <v>91</v>
      </c>
      <c r="F18" s="10" t="s">
        <v>93</v>
      </c>
      <c r="G18" s="10" t="s">
        <v>95</v>
      </c>
      <c r="H18" s="10" t="s">
        <v>1106</v>
      </c>
      <c r="I18" s="10" t="s">
        <v>1107</v>
      </c>
      <c r="J18" s="20" t="s">
        <v>96</v>
      </c>
      <c r="K18" s="121" t="s">
        <v>1359</v>
      </c>
      <c r="L18" s="118">
        <f>177*0.00336</f>
        <v>0.59472</v>
      </c>
      <c r="M18" s="118">
        <f>4059*0.00336</f>
        <v>13.63824</v>
      </c>
      <c r="N18" s="118">
        <v>0</v>
      </c>
    </row>
    <row r="19" spans="1:14" ht="18" thickBot="1">
      <c r="A19" s="116"/>
      <c r="B19" s="15" t="s">
        <v>87</v>
      </c>
      <c r="C19" s="109"/>
      <c r="D19" s="16" t="s">
        <v>111</v>
      </c>
      <c r="E19" s="16" t="s">
        <v>106</v>
      </c>
      <c r="F19" s="16" t="s">
        <v>112</v>
      </c>
      <c r="G19" s="16" t="s">
        <v>9</v>
      </c>
      <c r="H19" s="16" t="s">
        <v>1102</v>
      </c>
      <c r="I19" s="16" t="s">
        <v>1103</v>
      </c>
      <c r="J19" s="21" t="s">
        <v>109</v>
      </c>
      <c r="K19" s="121"/>
      <c r="L19" s="118"/>
      <c r="M19" s="118"/>
      <c r="N19" s="118"/>
    </row>
    <row r="20" spans="1:14" ht="18" thickBot="1">
      <c r="A20" s="116"/>
      <c r="B20" s="15" t="s">
        <v>110</v>
      </c>
      <c r="C20" s="109"/>
      <c r="D20" s="16"/>
      <c r="E20" s="16"/>
      <c r="F20" s="16"/>
      <c r="G20" s="16"/>
      <c r="H20" s="16" t="s">
        <v>1104</v>
      </c>
      <c r="I20" s="16" t="s">
        <v>1105</v>
      </c>
      <c r="J20" s="21" t="s">
        <v>97</v>
      </c>
      <c r="K20" s="121"/>
      <c r="L20" s="118"/>
      <c r="M20" s="118"/>
      <c r="N20" s="118"/>
    </row>
    <row r="21" spans="1:14" ht="15.75" thickBot="1">
      <c r="A21" s="115"/>
      <c r="B21" s="17" t="s">
        <v>99</v>
      </c>
      <c r="C21" s="101"/>
      <c r="D21" s="11"/>
      <c r="E21" s="11"/>
      <c r="F21" s="11"/>
      <c r="G21" s="11"/>
      <c r="H21" s="11"/>
      <c r="I21" s="11"/>
      <c r="J21" s="22"/>
      <c r="K21" s="121"/>
      <c r="L21" s="118"/>
      <c r="M21" s="118"/>
      <c r="N21" s="118"/>
    </row>
    <row r="22" spans="1:14" ht="18" customHeight="1" thickBot="1">
      <c r="A22" s="114" t="s">
        <v>1589</v>
      </c>
      <c r="B22" s="18" t="s">
        <v>1108</v>
      </c>
      <c r="C22" s="100" t="s">
        <v>1086</v>
      </c>
      <c r="D22" s="10" t="s">
        <v>116</v>
      </c>
      <c r="E22" s="10" t="s">
        <v>118</v>
      </c>
      <c r="F22" s="100" t="s">
        <v>30</v>
      </c>
      <c r="G22" s="10" t="s">
        <v>95</v>
      </c>
      <c r="H22" s="10" t="s">
        <v>1109</v>
      </c>
      <c r="I22" s="10" t="s">
        <v>1101</v>
      </c>
      <c r="J22" s="20" t="s">
        <v>96</v>
      </c>
      <c r="K22" s="121" t="s">
        <v>1360</v>
      </c>
      <c r="L22" s="118">
        <f>357*0.00336</f>
        <v>1.1995200000000001</v>
      </c>
      <c r="M22" s="118">
        <f>4158*0.00336</f>
        <v>13.970880000000001</v>
      </c>
      <c r="N22" s="118">
        <v>0</v>
      </c>
    </row>
    <row r="23" spans="1:14" ht="18" thickBot="1">
      <c r="A23" s="116"/>
      <c r="B23" s="15" t="s">
        <v>113</v>
      </c>
      <c r="C23" s="109"/>
      <c r="D23" s="16" t="s">
        <v>117</v>
      </c>
      <c r="E23" s="16" t="s">
        <v>119</v>
      </c>
      <c r="F23" s="109"/>
      <c r="G23" s="16" t="s">
        <v>9</v>
      </c>
      <c r="H23" s="16" t="s">
        <v>1100</v>
      </c>
      <c r="I23" s="16" t="s">
        <v>1110</v>
      </c>
      <c r="J23" s="21" t="s">
        <v>109</v>
      </c>
      <c r="K23" s="121"/>
      <c r="L23" s="118"/>
      <c r="M23" s="118"/>
      <c r="N23" s="118"/>
    </row>
    <row r="24" spans="1:14" ht="18" thickBot="1">
      <c r="A24" s="116"/>
      <c r="B24" s="15" t="s">
        <v>88</v>
      </c>
      <c r="C24" s="109"/>
      <c r="D24" s="16"/>
      <c r="E24" s="16"/>
      <c r="F24" s="109"/>
      <c r="G24" s="16"/>
      <c r="H24" s="16" t="s">
        <v>1111</v>
      </c>
      <c r="I24" s="16" t="s">
        <v>1112</v>
      </c>
      <c r="J24" s="21" t="s">
        <v>97</v>
      </c>
      <c r="K24" s="121"/>
      <c r="L24" s="118"/>
      <c r="M24" s="118"/>
      <c r="N24" s="118"/>
    </row>
    <row r="25" spans="1:14" ht="15.75" thickBot="1">
      <c r="A25" s="116"/>
      <c r="B25" s="15" t="s">
        <v>114</v>
      </c>
      <c r="C25" s="109"/>
      <c r="D25" s="16"/>
      <c r="E25" s="16"/>
      <c r="F25" s="109"/>
      <c r="G25" s="16"/>
      <c r="H25" s="16"/>
      <c r="I25" s="16"/>
      <c r="J25" s="21"/>
      <c r="K25" s="121"/>
      <c r="L25" s="118"/>
      <c r="M25" s="118"/>
      <c r="N25" s="118"/>
    </row>
    <row r="26" spans="1:14" ht="15.75" thickBot="1">
      <c r="A26" s="115"/>
      <c r="B26" s="17" t="s">
        <v>115</v>
      </c>
      <c r="C26" s="101"/>
      <c r="D26" s="11"/>
      <c r="E26" s="11"/>
      <c r="F26" s="101"/>
      <c r="G26" s="11"/>
      <c r="H26" s="11"/>
      <c r="I26" s="11"/>
      <c r="J26" s="22"/>
      <c r="K26" s="121"/>
      <c r="L26" s="118"/>
      <c r="M26" s="118"/>
      <c r="N26" s="118"/>
    </row>
    <row r="27" spans="1:14" ht="18" customHeight="1" thickBot="1">
      <c r="A27" s="114" t="s">
        <v>1590</v>
      </c>
      <c r="B27" s="18" t="s">
        <v>1108</v>
      </c>
      <c r="C27" s="100" t="s">
        <v>1086</v>
      </c>
      <c r="D27" s="10" t="s">
        <v>116</v>
      </c>
      <c r="E27" s="10" t="s">
        <v>121</v>
      </c>
      <c r="F27" s="100" t="s">
        <v>30</v>
      </c>
      <c r="G27" s="10" t="s">
        <v>95</v>
      </c>
      <c r="H27" s="10" t="s">
        <v>1102</v>
      </c>
      <c r="I27" s="10" t="s">
        <v>1103</v>
      </c>
      <c r="J27" s="20" t="s">
        <v>96</v>
      </c>
      <c r="K27" s="121" t="s">
        <v>1361</v>
      </c>
      <c r="L27" s="118">
        <f>299*0.00336</f>
        <v>1.00464</v>
      </c>
      <c r="M27" s="118">
        <f>3102*0.00336</f>
        <v>10.42272</v>
      </c>
      <c r="N27" s="118">
        <v>0</v>
      </c>
    </row>
    <row r="28" spans="1:14" ht="18" thickBot="1">
      <c r="A28" s="116"/>
      <c r="B28" s="15" t="s">
        <v>113</v>
      </c>
      <c r="C28" s="109"/>
      <c r="D28" s="16" t="s">
        <v>55</v>
      </c>
      <c r="E28" s="16" t="s">
        <v>122</v>
      </c>
      <c r="F28" s="109"/>
      <c r="G28" s="16" t="s">
        <v>9</v>
      </c>
      <c r="H28" s="16" t="s">
        <v>1100</v>
      </c>
      <c r="I28" s="16" t="s">
        <v>1110</v>
      </c>
      <c r="J28" s="21" t="s">
        <v>109</v>
      </c>
      <c r="K28" s="121"/>
      <c r="L28" s="118"/>
      <c r="M28" s="118"/>
      <c r="N28" s="118"/>
    </row>
    <row r="29" spans="1:14" ht="18" thickBot="1">
      <c r="A29" s="116"/>
      <c r="B29" s="15" t="s">
        <v>98</v>
      </c>
      <c r="C29" s="109"/>
      <c r="D29" s="16"/>
      <c r="E29" s="16"/>
      <c r="F29" s="109"/>
      <c r="G29" s="16"/>
      <c r="H29" s="16" t="s">
        <v>1111</v>
      </c>
      <c r="I29" s="16" t="s">
        <v>1112</v>
      </c>
      <c r="J29" s="21" t="s">
        <v>97</v>
      </c>
      <c r="K29" s="121"/>
      <c r="L29" s="118"/>
      <c r="M29" s="118"/>
      <c r="N29" s="118"/>
    </row>
    <row r="30" spans="1:14" ht="15.75" thickBot="1">
      <c r="A30" s="116"/>
      <c r="B30" s="15" t="s">
        <v>120</v>
      </c>
      <c r="C30" s="109"/>
      <c r="D30" s="16"/>
      <c r="E30" s="16"/>
      <c r="F30" s="109"/>
      <c r="G30" s="16"/>
      <c r="H30" s="16"/>
      <c r="I30" s="16"/>
      <c r="J30" s="21"/>
      <c r="K30" s="121"/>
      <c r="L30" s="118"/>
      <c r="M30" s="118"/>
      <c r="N30" s="118"/>
    </row>
    <row r="31" spans="1:14" ht="15.75" thickBot="1">
      <c r="A31" s="115"/>
      <c r="B31" s="17" t="s">
        <v>115</v>
      </c>
      <c r="C31" s="101"/>
      <c r="D31" s="11"/>
      <c r="E31" s="11"/>
      <c r="F31" s="101"/>
      <c r="G31" s="11"/>
      <c r="H31" s="11"/>
      <c r="I31" s="11"/>
      <c r="J31" s="22"/>
      <c r="K31" s="121"/>
      <c r="L31" s="118"/>
      <c r="M31" s="118"/>
      <c r="N31" s="118"/>
    </row>
    <row r="32" spans="1:14" ht="18" customHeight="1" thickBot="1">
      <c r="A32" s="114" t="s">
        <v>1591</v>
      </c>
      <c r="B32" s="18" t="s">
        <v>1108</v>
      </c>
      <c r="C32" s="100" t="s">
        <v>1086</v>
      </c>
      <c r="D32" s="10" t="s">
        <v>123</v>
      </c>
      <c r="E32" s="10" t="s">
        <v>125</v>
      </c>
      <c r="F32" s="100" t="s">
        <v>30</v>
      </c>
      <c r="G32" s="10" t="s">
        <v>95</v>
      </c>
      <c r="H32" s="10" t="s">
        <v>1113</v>
      </c>
      <c r="I32" s="10" t="s">
        <v>1101</v>
      </c>
      <c r="J32" s="20" t="s">
        <v>96</v>
      </c>
      <c r="K32" s="121" t="s">
        <v>1362</v>
      </c>
      <c r="L32" s="118">
        <f>359*0.00336</f>
        <v>1.20624</v>
      </c>
      <c r="M32" s="118">
        <f>4653*0.00336</f>
        <v>15.63408</v>
      </c>
      <c r="N32" s="118">
        <v>0</v>
      </c>
    </row>
    <row r="33" spans="1:14" ht="18" thickBot="1">
      <c r="A33" s="116"/>
      <c r="B33" s="15" t="s">
        <v>113</v>
      </c>
      <c r="C33" s="109"/>
      <c r="D33" s="16" t="s">
        <v>124</v>
      </c>
      <c r="E33" s="16" t="s">
        <v>19</v>
      </c>
      <c r="F33" s="109"/>
      <c r="G33" s="16" t="s">
        <v>9</v>
      </c>
      <c r="H33" s="16" t="s">
        <v>1114</v>
      </c>
      <c r="I33" s="16" t="s">
        <v>1115</v>
      </c>
      <c r="J33" s="21" t="s">
        <v>109</v>
      </c>
      <c r="K33" s="121"/>
      <c r="L33" s="118"/>
      <c r="M33" s="118"/>
      <c r="N33" s="118"/>
    </row>
    <row r="34" spans="1:14" ht="18" thickBot="1">
      <c r="A34" s="116"/>
      <c r="B34" s="15" t="s">
        <v>104</v>
      </c>
      <c r="C34" s="109"/>
      <c r="D34" s="16"/>
      <c r="E34" s="16"/>
      <c r="F34" s="109"/>
      <c r="G34" s="16"/>
      <c r="H34" s="16" t="s">
        <v>1116</v>
      </c>
      <c r="I34" s="16" t="s">
        <v>1117</v>
      </c>
      <c r="J34" s="21" t="s">
        <v>97</v>
      </c>
      <c r="K34" s="121"/>
      <c r="L34" s="118"/>
      <c r="M34" s="118"/>
      <c r="N34" s="118"/>
    </row>
    <row r="35" spans="1:14" ht="15.75" thickBot="1">
      <c r="A35" s="116"/>
      <c r="B35" s="15" t="s">
        <v>114</v>
      </c>
      <c r="C35" s="109"/>
      <c r="D35" s="16"/>
      <c r="E35" s="16"/>
      <c r="F35" s="109"/>
      <c r="G35" s="16"/>
      <c r="H35" s="16"/>
      <c r="I35" s="16"/>
      <c r="J35" s="21"/>
      <c r="K35" s="121"/>
      <c r="L35" s="118"/>
      <c r="M35" s="118"/>
      <c r="N35" s="118"/>
    </row>
    <row r="36" spans="1:14" ht="15.75" thickBot="1">
      <c r="A36" s="115"/>
      <c r="B36" s="17" t="s">
        <v>115</v>
      </c>
      <c r="C36" s="101"/>
      <c r="D36" s="11"/>
      <c r="E36" s="11"/>
      <c r="F36" s="101"/>
      <c r="G36" s="11"/>
      <c r="H36" s="11"/>
      <c r="I36" s="11"/>
      <c r="J36" s="22"/>
      <c r="K36" s="121"/>
      <c r="L36" s="118"/>
      <c r="M36" s="118"/>
      <c r="N36" s="118"/>
    </row>
    <row r="37" spans="1:14" ht="18" customHeight="1" thickBot="1">
      <c r="A37" s="114" t="s">
        <v>1592</v>
      </c>
      <c r="B37" s="18" t="s">
        <v>1108</v>
      </c>
      <c r="C37" s="100" t="s">
        <v>1086</v>
      </c>
      <c r="D37" s="10" t="s">
        <v>125</v>
      </c>
      <c r="E37" s="10" t="s">
        <v>118</v>
      </c>
      <c r="F37" s="100" t="s">
        <v>30</v>
      </c>
      <c r="G37" s="10" t="s">
        <v>95</v>
      </c>
      <c r="H37" s="10" t="s">
        <v>1118</v>
      </c>
      <c r="I37" s="10" t="s">
        <v>1107</v>
      </c>
      <c r="J37" s="20" t="s">
        <v>96</v>
      </c>
      <c r="K37" s="121" t="s">
        <v>1363</v>
      </c>
      <c r="L37" s="118">
        <f>274*0.00336</f>
        <v>0.92064</v>
      </c>
      <c r="M37" s="118">
        <f>3762*0.00336</f>
        <v>12.640320000000001</v>
      </c>
      <c r="N37" s="118">
        <v>0</v>
      </c>
    </row>
    <row r="38" spans="1:14" ht="18" thickBot="1">
      <c r="A38" s="116"/>
      <c r="B38" s="15" t="s">
        <v>113</v>
      </c>
      <c r="C38" s="109"/>
      <c r="D38" s="16" t="s">
        <v>126</v>
      </c>
      <c r="E38" s="16" t="s">
        <v>119</v>
      </c>
      <c r="F38" s="109"/>
      <c r="G38" s="16" t="s">
        <v>9</v>
      </c>
      <c r="H38" s="16" t="s">
        <v>1114</v>
      </c>
      <c r="I38" s="16" t="s">
        <v>1115</v>
      </c>
      <c r="J38" s="21" t="s">
        <v>109</v>
      </c>
      <c r="K38" s="121"/>
      <c r="L38" s="118"/>
      <c r="M38" s="118"/>
      <c r="N38" s="118"/>
    </row>
    <row r="39" spans="1:14" ht="18" thickBot="1">
      <c r="A39" s="116"/>
      <c r="B39" s="15" t="s">
        <v>110</v>
      </c>
      <c r="C39" s="109"/>
      <c r="D39" s="16"/>
      <c r="E39" s="16"/>
      <c r="F39" s="109"/>
      <c r="G39" s="16"/>
      <c r="H39" s="16" t="s">
        <v>1116</v>
      </c>
      <c r="I39" s="16" t="s">
        <v>1117</v>
      </c>
      <c r="J39" s="21" t="s">
        <v>97</v>
      </c>
      <c r="K39" s="121"/>
      <c r="L39" s="118"/>
      <c r="M39" s="118"/>
      <c r="N39" s="118"/>
    </row>
    <row r="40" spans="1:14" ht="15.75" thickBot="1">
      <c r="A40" s="116"/>
      <c r="B40" s="15" t="s">
        <v>120</v>
      </c>
      <c r="C40" s="109"/>
      <c r="D40" s="16"/>
      <c r="E40" s="16"/>
      <c r="F40" s="109"/>
      <c r="G40" s="16"/>
      <c r="H40" s="16"/>
      <c r="I40" s="16"/>
      <c r="J40" s="21"/>
      <c r="K40" s="121"/>
      <c r="L40" s="118"/>
      <c r="M40" s="118"/>
      <c r="N40" s="118"/>
    </row>
    <row r="41" spans="1:14" ht="15.75" thickBot="1">
      <c r="A41" s="115"/>
      <c r="B41" s="17" t="s">
        <v>115</v>
      </c>
      <c r="C41" s="101"/>
      <c r="D41" s="11"/>
      <c r="E41" s="11"/>
      <c r="F41" s="101"/>
      <c r="G41" s="11"/>
      <c r="H41" s="11"/>
      <c r="I41" s="11"/>
      <c r="J41" s="22"/>
      <c r="K41" s="121"/>
      <c r="L41" s="118"/>
      <c r="M41" s="118"/>
      <c r="N41" s="118"/>
    </row>
    <row r="42" spans="1:14" ht="18" customHeight="1" thickBot="1">
      <c r="A42" s="114" t="s">
        <v>1593</v>
      </c>
      <c r="B42" s="18" t="s">
        <v>1119</v>
      </c>
      <c r="C42" s="100" t="s">
        <v>1086</v>
      </c>
      <c r="D42" s="10" t="s">
        <v>128</v>
      </c>
      <c r="E42" s="10" t="s">
        <v>90</v>
      </c>
      <c r="F42" s="100" t="s">
        <v>30</v>
      </c>
      <c r="G42" s="10" t="s">
        <v>95</v>
      </c>
      <c r="H42" s="10" t="s">
        <v>1120</v>
      </c>
      <c r="I42" s="10" t="s">
        <v>1121</v>
      </c>
      <c r="J42" s="20" t="s">
        <v>96</v>
      </c>
      <c r="K42" s="121" t="s">
        <v>1364</v>
      </c>
      <c r="L42" s="118">
        <f>243*0.00336</f>
        <v>0.81648</v>
      </c>
      <c r="M42" s="118">
        <f>5544*0.00336</f>
        <v>18.62784</v>
      </c>
      <c r="N42" s="118">
        <v>0</v>
      </c>
    </row>
    <row r="43" spans="1:14" ht="18" thickBot="1">
      <c r="A43" s="116"/>
      <c r="B43" s="15" t="s">
        <v>127</v>
      </c>
      <c r="C43" s="109"/>
      <c r="D43" s="16" t="s">
        <v>129</v>
      </c>
      <c r="E43" s="16" t="s">
        <v>130</v>
      </c>
      <c r="F43" s="109"/>
      <c r="G43" s="16" t="s">
        <v>9</v>
      </c>
      <c r="H43" s="16" t="s">
        <v>1122</v>
      </c>
      <c r="I43" s="16" t="s">
        <v>1123</v>
      </c>
      <c r="J43" s="21" t="s">
        <v>109</v>
      </c>
      <c r="K43" s="121"/>
      <c r="L43" s="118"/>
      <c r="M43" s="118"/>
      <c r="N43" s="118"/>
    </row>
    <row r="44" spans="1:14" ht="18" thickBot="1">
      <c r="A44" s="115"/>
      <c r="B44" s="17"/>
      <c r="C44" s="101"/>
      <c r="D44" s="11"/>
      <c r="E44" s="11"/>
      <c r="F44" s="101"/>
      <c r="G44" s="11"/>
      <c r="H44" s="11" t="s">
        <v>1124</v>
      </c>
      <c r="I44" s="11" t="s">
        <v>1125</v>
      </c>
      <c r="J44" s="22" t="s">
        <v>97</v>
      </c>
      <c r="K44" s="121"/>
      <c r="L44" s="118"/>
      <c r="M44" s="118"/>
      <c r="N44" s="118"/>
    </row>
    <row r="45" spans="1:14" ht="18" customHeight="1" thickBot="1">
      <c r="A45" s="114" t="s">
        <v>1594</v>
      </c>
      <c r="B45" s="18" t="s">
        <v>1126</v>
      </c>
      <c r="C45" s="100" t="s">
        <v>1086</v>
      </c>
      <c r="D45" s="10" t="s">
        <v>133</v>
      </c>
      <c r="E45" s="10" t="s">
        <v>135</v>
      </c>
      <c r="F45" s="100" t="s">
        <v>30</v>
      </c>
      <c r="G45" s="10" t="s">
        <v>95</v>
      </c>
      <c r="H45" s="10" t="s">
        <v>1127</v>
      </c>
      <c r="I45" s="10" t="s">
        <v>1128</v>
      </c>
      <c r="J45" s="20" t="s">
        <v>137</v>
      </c>
      <c r="K45" s="121" t="s">
        <v>1365</v>
      </c>
      <c r="L45" s="118">
        <f>18300*0.00336</f>
        <v>61.488</v>
      </c>
      <c r="M45" s="118">
        <f>88077*0.00336</f>
        <v>295.93872</v>
      </c>
      <c r="N45" s="118">
        <f>30240*0.00336</f>
        <v>101.60640000000001</v>
      </c>
    </row>
    <row r="46" spans="1:14" ht="18" thickBot="1">
      <c r="A46" s="116"/>
      <c r="B46" s="19" t="s">
        <v>1129</v>
      </c>
      <c r="C46" s="109"/>
      <c r="D46" s="16" t="s">
        <v>134</v>
      </c>
      <c r="E46" s="16" t="s">
        <v>136</v>
      </c>
      <c r="F46" s="109"/>
      <c r="G46" s="16" t="s">
        <v>9</v>
      </c>
      <c r="H46" s="16" t="s">
        <v>1130</v>
      </c>
      <c r="I46" s="16" t="s">
        <v>1131</v>
      </c>
      <c r="J46" s="21" t="s">
        <v>109</v>
      </c>
      <c r="K46" s="121"/>
      <c r="L46" s="118"/>
      <c r="M46" s="118"/>
      <c r="N46" s="118"/>
    </row>
    <row r="47" spans="1:14" ht="18" thickBot="1">
      <c r="A47" s="116"/>
      <c r="B47" s="15" t="s">
        <v>87</v>
      </c>
      <c r="C47" s="109"/>
      <c r="D47" s="16"/>
      <c r="E47" s="16"/>
      <c r="F47" s="109"/>
      <c r="G47" s="16"/>
      <c r="H47" s="16" t="s">
        <v>1132</v>
      </c>
      <c r="I47" s="16" t="s">
        <v>1133</v>
      </c>
      <c r="J47" s="21" t="s">
        <v>97</v>
      </c>
      <c r="K47" s="121"/>
      <c r="L47" s="118"/>
      <c r="M47" s="118"/>
      <c r="N47" s="118"/>
    </row>
    <row r="48" spans="1:14" ht="15.75" thickBot="1">
      <c r="A48" s="116"/>
      <c r="B48" s="15" t="s">
        <v>131</v>
      </c>
      <c r="C48" s="109"/>
      <c r="D48" s="16"/>
      <c r="E48" s="16"/>
      <c r="F48" s="109"/>
      <c r="G48" s="16"/>
      <c r="H48" s="16"/>
      <c r="I48" s="16"/>
      <c r="J48" s="21"/>
      <c r="K48" s="121"/>
      <c r="L48" s="118"/>
      <c r="M48" s="118"/>
      <c r="N48" s="118"/>
    </row>
    <row r="49" spans="1:14" ht="15.75" thickBot="1">
      <c r="A49" s="116"/>
      <c r="B49" s="15" t="s">
        <v>114</v>
      </c>
      <c r="C49" s="109"/>
      <c r="D49" s="16"/>
      <c r="E49" s="16"/>
      <c r="F49" s="109"/>
      <c r="G49" s="16"/>
      <c r="H49" s="16"/>
      <c r="I49" s="16"/>
      <c r="J49" s="21"/>
      <c r="K49" s="121"/>
      <c r="L49" s="118"/>
      <c r="M49" s="118"/>
      <c r="N49" s="118"/>
    </row>
    <row r="50" spans="1:14" ht="15.75" thickBot="1">
      <c r="A50" s="115"/>
      <c r="B50" s="17" t="s">
        <v>132</v>
      </c>
      <c r="C50" s="101"/>
      <c r="D50" s="11"/>
      <c r="E50" s="11"/>
      <c r="F50" s="101"/>
      <c r="G50" s="11"/>
      <c r="H50" s="11"/>
      <c r="I50" s="11"/>
      <c r="J50" s="22"/>
      <c r="K50" s="121"/>
      <c r="L50" s="118"/>
      <c r="M50" s="118"/>
      <c r="N50" s="118"/>
    </row>
    <row r="51" spans="1:14" ht="18" customHeight="1" thickBot="1">
      <c r="A51" s="114" t="s">
        <v>1595</v>
      </c>
      <c r="B51" s="14" t="s">
        <v>138</v>
      </c>
      <c r="C51" s="100" t="s">
        <v>1086</v>
      </c>
      <c r="D51" s="10" t="s">
        <v>140</v>
      </c>
      <c r="E51" s="10" t="s">
        <v>140</v>
      </c>
      <c r="F51" s="100" t="s">
        <v>30</v>
      </c>
      <c r="G51" s="10" t="s">
        <v>1567</v>
      </c>
      <c r="H51" s="10" t="s">
        <v>1134</v>
      </c>
      <c r="I51" s="10" t="s">
        <v>1135</v>
      </c>
      <c r="J51" s="20" t="s">
        <v>141</v>
      </c>
      <c r="K51" s="123" t="s">
        <v>1366</v>
      </c>
      <c r="L51" s="118">
        <f>15420*0.00336</f>
        <v>51.8112</v>
      </c>
      <c r="M51" s="118">
        <f>8910*0.00336</f>
        <v>29.9376</v>
      </c>
      <c r="N51" s="118">
        <f>4878*0.00336</f>
        <v>16.39008</v>
      </c>
    </row>
    <row r="52" spans="1:14" ht="18" thickBot="1">
      <c r="A52" s="115"/>
      <c r="B52" s="17" t="s">
        <v>139</v>
      </c>
      <c r="C52" s="101"/>
      <c r="D52" s="11" t="s">
        <v>1136</v>
      </c>
      <c r="E52" s="11" t="s">
        <v>1137</v>
      </c>
      <c r="F52" s="101"/>
      <c r="G52" s="11" t="s">
        <v>9</v>
      </c>
      <c r="H52" s="11" t="s">
        <v>1138</v>
      </c>
      <c r="I52" s="11" t="s">
        <v>1139</v>
      </c>
      <c r="J52" s="22" t="s">
        <v>142</v>
      </c>
      <c r="K52" s="123"/>
      <c r="L52" s="118"/>
      <c r="M52" s="118"/>
      <c r="N52" s="118"/>
    </row>
  </sheetData>
  <sheetProtection/>
  <mergeCells count="86">
    <mergeCell ref="D1:E1"/>
    <mergeCell ref="A51:A52"/>
    <mergeCell ref="A22:A26"/>
    <mergeCell ref="A27:A31"/>
    <mergeCell ref="A32:A36"/>
    <mergeCell ref="A37:A41"/>
    <mergeCell ref="A42:A44"/>
    <mergeCell ref="A45:A50"/>
    <mergeCell ref="A1:B1"/>
    <mergeCell ref="A3:A5"/>
    <mergeCell ref="A6:A9"/>
    <mergeCell ref="A10:A13"/>
    <mergeCell ref="A14:A17"/>
    <mergeCell ref="A18:A21"/>
    <mergeCell ref="L3:N4"/>
    <mergeCell ref="K51:K52"/>
    <mergeCell ref="K45:K50"/>
    <mergeCell ref="K42:K44"/>
    <mergeCell ref="K14:K17"/>
    <mergeCell ref="K18:K21"/>
    <mergeCell ref="K37:K41"/>
    <mergeCell ref="K32:K36"/>
    <mergeCell ref="K22:K26"/>
    <mergeCell ref="K27:K31"/>
    <mergeCell ref="K3:K5"/>
    <mergeCell ref="K6:K9"/>
    <mergeCell ref="K10:K13"/>
    <mergeCell ref="B3:B5"/>
    <mergeCell ref="C3:C5"/>
    <mergeCell ref="D3:G3"/>
    <mergeCell ref="H3:J3"/>
    <mergeCell ref="G4:G5"/>
    <mergeCell ref="H4:I4"/>
    <mergeCell ref="J4:J5"/>
    <mergeCell ref="D5:F5"/>
    <mergeCell ref="C6:C9"/>
    <mergeCell ref="C10:C13"/>
    <mergeCell ref="C14:C17"/>
    <mergeCell ref="C18:C21"/>
    <mergeCell ref="C22:C26"/>
    <mergeCell ref="F22:F26"/>
    <mergeCell ref="C45:C50"/>
    <mergeCell ref="F45:F50"/>
    <mergeCell ref="C51:C52"/>
    <mergeCell ref="F51:F52"/>
    <mergeCell ref="C27:C31"/>
    <mergeCell ref="F27:F31"/>
    <mergeCell ref="C32:C36"/>
    <mergeCell ref="F32:F36"/>
    <mergeCell ref="C37:C41"/>
    <mergeCell ref="F37:F41"/>
    <mergeCell ref="L6:L9"/>
    <mergeCell ref="M6:M9"/>
    <mergeCell ref="N6:N9"/>
    <mergeCell ref="C42:C44"/>
    <mergeCell ref="F42:F44"/>
    <mergeCell ref="L14:L17"/>
    <mergeCell ref="M14:M17"/>
    <mergeCell ref="N14:N17"/>
    <mergeCell ref="L10:L13"/>
    <mergeCell ref="M10:M13"/>
    <mergeCell ref="N10:N13"/>
    <mergeCell ref="L18:L21"/>
    <mergeCell ref="M18:M21"/>
    <mergeCell ref="N18:N21"/>
    <mergeCell ref="L22:L26"/>
    <mergeCell ref="M22:M26"/>
    <mergeCell ref="N22:N26"/>
    <mergeCell ref="L27:L31"/>
    <mergeCell ref="M27:M31"/>
    <mergeCell ref="N27:N31"/>
    <mergeCell ref="L32:L36"/>
    <mergeCell ref="M32:M36"/>
    <mergeCell ref="N32:N36"/>
    <mergeCell ref="L37:L41"/>
    <mergeCell ref="M37:M41"/>
    <mergeCell ref="N37:N41"/>
    <mergeCell ref="L42:L44"/>
    <mergeCell ref="M42:M44"/>
    <mergeCell ref="N42:N44"/>
    <mergeCell ref="L51:L52"/>
    <mergeCell ref="L45:L50"/>
    <mergeCell ref="M45:M50"/>
    <mergeCell ref="N45:N50"/>
    <mergeCell ref="N51:N52"/>
    <mergeCell ref="M51:M5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4"/>
  </sheetPr>
  <dimension ref="A1:K26"/>
  <sheetViews>
    <sheetView zoomScalePageLayoutView="0" workbookViewId="0" topLeftCell="A1">
      <selection activeCell="A1" sqref="A1:B1"/>
    </sheetView>
  </sheetViews>
  <sheetFormatPr defaultColWidth="8.8515625" defaultRowHeight="15"/>
  <cols>
    <col min="1" max="1" width="8.8515625" style="35" customWidth="1"/>
    <col min="2" max="2" width="31.421875" style="3" customWidth="1"/>
    <col min="3" max="7" width="8.8515625" style="3" customWidth="1"/>
    <col min="8" max="8" width="11.28125" style="3" bestFit="1" customWidth="1"/>
    <col min="9" max="11" width="13.421875" style="3" customWidth="1"/>
    <col min="12" max="16384" width="8.8515625" style="3" customWidth="1"/>
  </cols>
  <sheetData>
    <row r="1" spans="1:2" ht="15">
      <c r="A1" s="217" t="s">
        <v>143</v>
      </c>
      <c r="B1" s="217"/>
    </row>
    <row r="2" ht="15.75" thickBot="1">
      <c r="B2" s="9"/>
    </row>
    <row r="3" spans="1:11" ht="15.75" thickBot="1">
      <c r="A3" s="114" t="s">
        <v>1583</v>
      </c>
      <c r="B3" s="100" t="s">
        <v>1</v>
      </c>
      <c r="C3" s="100" t="s">
        <v>2</v>
      </c>
      <c r="D3" s="110" t="s">
        <v>144</v>
      </c>
      <c r="E3" s="112"/>
      <c r="F3" s="110" t="s">
        <v>79</v>
      </c>
      <c r="G3" s="112"/>
      <c r="H3" s="100" t="s">
        <v>1334</v>
      </c>
      <c r="I3" s="134" t="s">
        <v>1576</v>
      </c>
      <c r="J3" s="135"/>
      <c r="K3" s="136"/>
    </row>
    <row r="4" spans="1:11" ht="30.75" thickBot="1">
      <c r="A4" s="116"/>
      <c r="B4" s="109"/>
      <c r="C4" s="109"/>
      <c r="D4" s="10" t="s">
        <v>145</v>
      </c>
      <c r="E4" s="100" t="s">
        <v>5</v>
      </c>
      <c r="F4" s="100" t="s">
        <v>146</v>
      </c>
      <c r="G4" s="100" t="s">
        <v>84</v>
      </c>
      <c r="H4" s="109"/>
      <c r="I4" s="137"/>
      <c r="J4" s="138"/>
      <c r="K4" s="139"/>
    </row>
    <row r="5" spans="1:11" ht="15.75" thickBot="1">
      <c r="A5" s="115"/>
      <c r="B5" s="101"/>
      <c r="C5" s="101"/>
      <c r="D5" s="11" t="s">
        <v>4</v>
      </c>
      <c r="E5" s="101"/>
      <c r="F5" s="101"/>
      <c r="G5" s="101"/>
      <c r="H5" s="109"/>
      <c r="I5" s="41" t="s">
        <v>1577</v>
      </c>
      <c r="J5" s="41" t="s">
        <v>1578</v>
      </c>
      <c r="K5" s="41" t="s">
        <v>1579</v>
      </c>
    </row>
    <row r="6" spans="1:11" ht="30.75" customHeight="1" thickBot="1">
      <c r="A6" s="114" t="s">
        <v>1584</v>
      </c>
      <c r="B6" s="132" t="s">
        <v>147</v>
      </c>
      <c r="C6" s="100" t="s">
        <v>148</v>
      </c>
      <c r="D6" s="100" t="s">
        <v>149</v>
      </c>
      <c r="E6" s="100" t="s">
        <v>9</v>
      </c>
      <c r="F6" s="10" t="s">
        <v>150</v>
      </c>
      <c r="G6" s="10" t="s">
        <v>152</v>
      </c>
      <c r="H6" s="104" t="s">
        <v>1367</v>
      </c>
      <c r="I6" s="113">
        <f>5111*0.00336</f>
        <v>17.17296</v>
      </c>
      <c r="J6" s="113">
        <f>660*0.00336</f>
        <v>2.2176</v>
      </c>
      <c r="K6" s="113">
        <v>0</v>
      </c>
    </row>
    <row r="7" spans="1:11" ht="45.75" thickBot="1">
      <c r="A7" s="115"/>
      <c r="B7" s="133"/>
      <c r="C7" s="101"/>
      <c r="D7" s="101"/>
      <c r="E7" s="101"/>
      <c r="F7" s="11" t="s">
        <v>151</v>
      </c>
      <c r="G7" s="11" t="s">
        <v>153</v>
      </c>
      <c r="H7" s="104"/>
      <c r="I7" s="113"/>
      <c r="J7" s="113"/>
      <c r="K7" s="113"/>
    </row>
    <row r="8" spans="1:11" ht="30.75" customHeight="1" thickBot="1">
      <c r="A8" s="114" t="s">
        <v>1585</v>
      </c>
      <c r="B8" s="14" t="s">
        <v>154</v>
      </c>
      <c r="C8" s="100" t="s">
        <v>157</v>
      </c>
      <c r="D8" s="100" t="s">
        <v>149</v>
      </c>
      <c r="E8" s="100" t="s">
        <v>9</v>
      </c>
      <c r="F8" s="100" t="s">
        <v>158</v>
      </c>
      <c r="G8" s="10" t="s">
        <v>159</v>
      </c>
      <c r="H8" s="104" t="s">
        <v>1368</v>
      </c>
      <c r="I8" s="113">
        <f>2537*0.00336</f>
        <v>8.524320000000001</v>
      </c>
      <c r="J8" s="113">
        <f>1287*0.00336</f>
        <v>4.32432</v>
      </c>
      <c r="K8" s="113">
        <v>0</v>
      </c>
    </row>
    <row r="9" spans="1:11" ht="30.75" thickBot="1">
      <c r="A9" s="116"/>
      <c r="B9" s="15" t="s">
        <v>155</v>
      </c>
      <c r="C9" s="109"/>
      <c r="D9" s="109"/>
      <c r="E9" s="109"/>
      <c r="F9" s="109"/>
      <c r="G9" s="16" t="s">
        <v>160</v>
      </c>
      <c r="H9" s="104"/>
      <c r="I9" s="113"/>
      <c r="J9" s="113"/>
      <c r="K9" s="113"/>
    </row>
    <row r="10" spans="1:11" ht="45.75" thickBot="1">
      <c r="A10" s="116"/>
      <c r="B10" s="15" t="s">
        <v>156</v>
      </c>
      <c r="C10" s="109"/>
      <c r="D10" s="109"/>
      <c r="E10" s="109"/>
      <c r="F10" s="109"/>
      <c r="G10" s="16" t="s">
        <v>161</v>
      </c>
      <c r="H10" s="104"/>
      <c r="I10" s="113"/>
      <c r="J10" s="113"/>
      <c r="K10" s="113"/>
    </row>
    <row r="11" spans="1:11" ht="15.75" thickBot="1">
      <c r="A11" s="115"/>
      <c r="B11" s="17"/>
      <c r="C11" s="101"/>
      <c r="D11" s="101"/>
      <c r="E11" s="101"/>
      <c r="F11" s="101"/>
      <c r="G11" s="11" t="s">
        <v>162</v>
      </c>
      <c r="H11" s="104"/>
      <c r="I11" s="113"/>
      <c r="J11" s="113"/>
      <c r="K11" s="113"/>
    </row>
    <row r="12" spans="1:11" ht="30.75" thickBot="1">
      <c r="A12" s="80" t="s">
        <v>1586</v>
      </c>
      <c r="B12" s="12" t="s">
        <v>163</v>
      </c>
      <c r="C12" s="13" t="s">
        <v>1085</v>
      </c>
      <c r="D12" s="29">
        <v>2.09</v>
      </c>
      <c r="E12" s="13" t="s">
        <v>9</v>
      </c>
      <c r="F12" s="13" t="s">
        <v>1088</v>
      </c>
      <c r="G12" s="13" t="s">
        <v>164</v>
      </c>
      <c r="H12" s="34" t="s">
        <v>1369</v>
      </c>
      <c r="I12" s="96">
        <f>2414*0.00336</f>
        <v>8.111040000000001</v>
      </c>
      <c r="J12" s="96">
        <f>10428*0.00336</f>
        <v>35.03808</v>
      </c>
      <c r="K12" s="96">
        <v>0</v>
      </c>
    </row>
    <row r="13" spans="1:11" ht="30.75" thickBot="1">
      <c r="A13" s="80" t="s">
        <v>1587</v>
      </c>
      <c r="B13" s="12" t="s">
        <v>165</v>
      </c>
      <c r="C13" s="13" t="s">
        <v>157</v>
      </c>
      <c r="D13" s="13" t="s">
        <v>166</v>
      </c>
      <c r="E13" s="13" t="s">
        <v>9</v>
      </c>
      <c r="F13" s="13" t="s">
        <v>167</v>
      </c>
      <c r="G13" s="13" t="s">
        <v>168</v>
      </c>
      <c r="H13" s="34" t="s">
        <v>1370</v>
      </c>
      <c r="I13" s="96">
        <f>1168*0.00336</f>
        <v>3.92448</v>
      </c>
      <c r="J13" s="96">
        <f>1716*0.00336</f>
        <v>5.76576</v>
      </c>
      <c r="K13" s="96">
        <v>0</v>
      </c>
    </row>
    <row r="14" spans="1:11" ht="30.75" thickBot="1">
      <c r="A14" s="114" t="s">
        <v>1589</v>
      </c>
      <c r="B14" s="128" t="s">
        <v>169</v>
      </c>
      <c r="C14" s="130" t="s">
        <v>1085</v>
      </c>
      <c r="D14" s="130" t="s">
        <v>170</v>
      </c>
      <c r="E14" s="130" t="s">
        <v>9</v>
      </c>
      <c r="F14" s="130" t="s">
        <v>1089</v>
      </c>
      <c r="G14" s="43" t="s">
        <v>171</v>
      </c>
      <c r="H14" s="127" t="s">
        <v>1371</v>
      </c>
      <c r="I14" s="113">
        <f>7791*0.00336</f>
        <v>26.177760000000003</v>
      </c>
      <c r="J14" s="113">
        <f>7425*0.00336</f>
        <v>24.948</v>
      </c>
      <c r="K14" s="113">
        <v>0</v>
      </c>
    </row>
    <row r="15" spans="1:11" ht="45.75" thickBot="1">
      <c r="A15" s="115"/>
      <c r="B15" s="129"/>
      <c r="C15" s="131"/>
      <c r="D15" s="131"/>
      <c r="E15" s="131"/>
      <c r="F15" s="131"/>
      <c r="G15" s="44" t="s">
        <v>172</v>
      </c>
      <c r="H15" s="127"/>
      <c r="I15" s="113"/>
      <c r="J15" s="113"/>
      <c r="K15" s="113"/>
    </row>
    <row r="16" spans="1:11" ht="75.75" thickBot="1">
      <c r="A16" s="114" t="s">
        <v>1590</v>
      </c>
      <c r="B16" s="14" t="s">
        <v>173</v>
      </c>
      <c r="C16" s="100" t="s">
        <v>1085</v>
      </c>
      <c r="D16" s="100" t="s">
        <v>66</v>
      </c>
      <c r="E16" s="100" t="s">
        <v>9</v>
      </c>
      <c r="F16" s="100" t="s">
        <v>1088</v>
      </c>
      <c r="G16" s="10" t="s">
        <v>175</v>
      </c>
      <c r="H16" s="104" t="s">
        <v>1372</v>
      </c>
      <c r="I16" s="113">
        <f>2458*0.00336</f>
        <v>8.25888</v>
      </c>
      <c r="J16" s="113">
        <f>7656*0.00336</f>
        <v>25.72416</v>
      </c>
      <c r="K16" s="113">
        <v>0</v>
      </c>
    </row>
    <row r="17" spans="1:11" ht="15.75" thickBot="1">
      <c r="A17" s="115"/>
      <c r="B17" s="17" t="s">
        <v>174</v>
      </c>
      <c r="C17" s="101"/>
      <c r="D17" s="101"/>
      <c r="E17" s="101"/>
      <c r="F17" s="101"/>
      <c r="G17" s="11" t="s">
        <v>176</v>
      </c>
      <c r="H17" s="104"/>
      <c r="I17" s="113"/>
      <c r="J17" s="113"/>
      <c r="K17" s="113"/>
    </row>
    <row r="18" spans="1:11" ht="15.75" customHeight="1" thickBot="1">
      <c r="A18" s="114" t="s">
        <v>1591</v>
      </c>
      <c r="B18" s="14" t="s">
        <v>177</v>
      </c>
      <c r="C18" s="100" t="s">
        <v>1085</v>
      </c>
      <c r="D18" s="100" t="s">
        <v>179</v>
      </c>
      <c r="E18" s="100" t="s">
        <v>9</v>
      </c>
      <c r="F18" s="100" t="s">
        <v>1090</v>
      </c>
      <c r="G18" s="10" t="s">
        <v>180</v>
      </c>
      <c r="H18" s="104" t="s">
        <v>1373</v>
      </c>
      <c r="I18" s="113">
        <f>1929*0.00336</f>
        <v>6.48144</v>
      </c>
      <c r="J18" s="113">
        <f>8151*0.00336</f>
        <v>27.38736</v>
      </c>
      <c r="K18" s="113">
        <v>0</v>
      </c>
    </row>
    <row r="19" spans="1:11" ht="30.75" thickBot="1">
      <c r="A19" s="115"/>
      <c r="B19" s="17" t="s">
        <v>178</v>
      </c>
      <c r="C19" s="101"/>
      <c r="D19" s="101"/>
      <c r="E19" s="101"/>
      <c r="F19" s="101"/>
      <c r="G19" s="11" t="s">
        <v>181</v>
      </c>
      <c r="H19" s="104"/>
      <c r="I19" s="113"/>
      <c r="J19" s="113"/>
      <c r="K19" s="113"/>
    </row>
    <row r="20" spans="1:11" ht="15.75" customHeight="1" thickBot="1">
      <c r="A20" s="114" t="s">
        <v>1592</v>
      </c>
      <c r="B20" s="14" t="s">
        <v>182</v>
      </c>
      <c r="C20" s="100" t="s">
        <v>157</v>
      </c>
      <c r="D20" s="107">
        <v>1.25</v>
      </c>
      <c r="E20" s="100" t="s">
        <v>9</v>
      </c>
      <c r="F20" s="100" t="s">
        <v>184</v>
      </c>
      <c r="G20" s="100" t="s">
        <v>185</v>
      </c>
      <c r="H20" s="104" t="s">
        <v>1374</v>
      </c>
      <c r="I20" s="113">
        <f>305*0.00336</f>
        <v>1.0248</v>
      </c>
      <c r="J20" s="113">
        <f>132*0.00336</f>
        <v>0.44352</v>
      </c>
      <c r="K20" s="113">
        <v>0</v>
      </c>
    </row>
    <row r="21" spans="1:11" ht="15.75" thickBot="1">
      <c r="A21" s="115"/>
      <c r="B21" s="17" t="s">
        <v>183</v>
      </c>
      <c r="C21" s="101"/>
      <c r="D21" s="108"/>
      <c r="E21" s="101"/>
      <c r="F21" s="101"/>
      <c r="G21" s="101"/>
      <c r="H21" s="104"/>
      <c r="I21" s="113"/>
      <c r="J21" s="113"/>
      <c r="K21" s="113"/>
    </row>
    <row r="22" spans="1:11" ht="15.75" customHeight="1" thickBot="1">
      <c r="A22" s="114" t="s">
        <v>1593</v>
      </c>
      <c r="B22" s="14" t="s">
        <v>182</v>
      </c>
      <c r="C22" s="100" t="s">
        <v>157</v>
      </c>
      <c r="D22" s="100" t="s">
        <v>149</v>
      </c>
      <c r="E22" s="100" t="s">
        <v>9</v>
      </c>
      <c r="F22" s="10" t="s">
        <v>186</v>
      </c>
      <c r="G22" s="10" t="s">
        <v>187</v>
      </c>
      <c r="H22" s="104" t="s">
        <v>1375</v>
      </c>
      <c r="I22" s="113">
        <f>422*0.00336</f>
        <v>1.41792</v>
      </c>
      <c r="J22" s="113">
        <f>132*0.00336</f>
        <v>0.44352</v>
      </c>
      <c r="K22" s="113">
        <v>0</v>
      </c>
    </row>
    <row r="23" spans="1:11" ht="48" thickBot="1">
      <c r="A23" s="115"/>
      <c r="B23" s="17" t="s">
        <v>183</v>
      </c>
      <c r="C23" s="101"/>
      <c r="D23" s="101"/>
      <c r="E23" s="101"/>
      <c r="F23" s="11" t="s">
        <v>1091</v>
      </c>
      <c r="G23" s="11" t="s">
        <v>188</v>
      </c>
      <c r="H23" s="104"/>
      <c r="I23" s="113"/>
      <c r="J23" s="113"/>
      <c r="K23" s="113"/>
    </row>
    <row r="24" spans="1:11" ht="15.75" customHeight="1" thickBot="1">
      <c r="A24" s="114" t="s">
        <v>1594</v>
      </c>
      <c r="B24" s="14" t="s">
        <v>189</v>
      </c>
      <c r="C24" s="100" t="s">
        <v>1085</v>
      </c>
      <c r="D24" s="100" t="s">
        <v>192</v>
      </c>
      <c r="E24" s="100" t="s">
        <v>9</v>
      </c>
      <c r="F24" s="100" t="s">
        <v>1092</v>
      </c>
      <c r="G24" s="100" t="s">
        <v>193</v>
      </c>
      <c r="H24" s="104" t="s">
        <v>1376</v>
      </c>
      <c r="I24" s="113">
        <f>2120*0.00336</f>
        <v>7.123200000000001</v>
      </c>
      <c r="J24" s="113">
        <v>8481</v>
      </c>
      <c r="K24" s="113">
        <v>0</v>
      </c>
    </row>
    <row r="25" spans="1:11" ht="15.75" thickBot="1">
      <c r="A25" s="116"/>
      <c r="B25" s="15" t="s">
        <v>190</v>
      </c>
      <c r="C25" s="109"/>
      <c r="D25" s="109"/>
      <c r="E25" s="109"/>
      <c r="F25" s="109"/>
      <c r="G25" s="109"/>
      <c r="H25" s="104"/>
      <c r="I25" s="113"/>
      <c r="J25" s="113"/>
      <c r="K25" s="113"/>
    </row>
    <row r="26" spans="1:11" ht="15.75" thickBot="1">
      <c r="A26" s="115"/>
      <c r="B26" s="17" t="s">
        <v>191</v>
      </c>
      <c r="C26" s="101"/>
      <c r="D26" s="101"/>
      <c r="E26" s="101"/>
      <c r="F26" s="101"/>
      <c r="G26" s="101"/>
      <c r="H26" s="104"/>
      <c r="I26" s="113"/>
      <c r="J26" s="113"/>
      <c r="K26" s="113"/>
    </row>
  </sheetData>
  <sheetProtection/>
  <mergeCells count="85">
    <mergeCell ref="A24:A26"/>
    <mergeCell ref="A22:A23"/>
    <mergeCell ref="A20:A21"/>
    <mergeCell ref="A18:A19"/>
    <mergeCell ref="A1:B1"/>
    <mergeCell ref="A3:A5"/>
    <mergeCell ref="A6:A7"/>
    <mergeCell ref="A8:A11"/>
    <mergeCell ref="A14:A15"/>
    <mergeCell ref="A16:A17"/>
    <mergeCell ref="I3:K4"/>
    <mergeCell ref="B3:B5"/>
    <mergeCell ref="C3:C5"/>
    <mergeCell ref="D3:E3"/>
    <mergeCell ref="F3:G3"/>
    <mergeCell ref="E4:E5"/>
    <mergeCell ref="F4:F5"/>
    <mergeCell ref="G4:G5"/>
    <mergeCell ref="B14:B15"/>
    <mergeCell ref="C14:C15"/>
    <mergeCell ref="D14:D15"/>
    <mergeCell ref="E14:E15"/>
    <mergeCell ref="F14:F15"/>
    <mergeCell ref="B6:B7"/>
    <mergeCell ref="C6:C7"/>
    <mergeCell ref="D6:D7"/>
    <mergeCell ref="E6:E7"/>
    <mergeCell ref="C8:C11"/>
    <mergeCell ref="F16:F17"/>
    <mergeCell ref="C18:C19"/>
    <mergeCell ref="D18:D19"/>
    <mergeCell ref="E18:E19"/>
    <mergeCell ref="F18:F19"/>
    <mergeCell ref="F8:F11"/>
    <mergeCell ref="D8:D11"/>
    <mergeCell ref="E8:E11"/>
    <mergeCell ref="C22:C23"/>
    <mergeCell ref="D22:D23"/>
    <mergeCell ref="E22:E23"/>
    <mergeCell ref="C16:C17"/>
    <mergeCell ref="D16:D17"/>
    <mergeCell ref="E16:E17"/>
    <mergeCell ref="C24:C26"/>
    <mergeCell ref="D24:D26"/>
    <mergeCell ref="E24:E26"/>
    <mergeCell ref="F24:F26"/>
    <mergeCell ref="G24:G26"/>
    <mergeCell ref="C20:C21"/>
    <mergeCell ref="D20:D21"/>
    <mergeCell ref="E20:E21"/>
    <mergeCell ref="F20:F21"/>
    <mergeCell ref="G20:G21"/>
    <mergeCell ref="H20:H21"/>
    <mergeCell ref="H22:H23"/>
    <mergeCell ref="H24:H26"/>
    <mergeCell ref="H3:H5"/>
    <mergeCell ref="H6:H7"/>
    <mergeCell ref="H8:H11"/>
    <mergeCell ref="H14:H15"/>
    <mergeCell ref="H16:H17"/>
    <mergeCell ref="H18:H19"/>
    <mergeCell ref="I6:I7"/>
    <mergeCell ref="J6:J7"/>
    <mergeCell ref="K6:K7"/>
    <mergeCell ref="I8:I11"/>
    <mergeCell ref="J8:J11"/>
    <mergeCell ref="K8:K11"/>
    <mergeCell ref="I14:I15"/>
    <mergeCell ref="J14:J15"/>
    <mergeCell ref="K14:K15"/>
    <mergeCell ref="I16:I17"/>
    <mergeCell ref="J16:J17"/>
    <mergeCell ref="K16:K17"/>
    <mergeCell ref="I18:I19"/>
    <mergeCell ref="J18:J19"/>
    <mergeCell ref="K18:K19"/>
    <mergeCell ref="K22:K23"/>
    <mergeCell ref="I24:I26"/>
    <mergeCell ref="J24:J26"/>
    <mergeCell ref="K24:K26"/>
    <mergeCell ref="J22:J23"/>
    <mergeCell ref="I22:I23"/>
    <mergeCell ref="I20:I21"/>
    <mergeCell ref="J20:J21"/>
    <mergeCell ref="K20:K21"/>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theme="4"/>
  </sheetPr>
  <dimension ref="A1:K18"/>
  <sheetViews>
    <sheetView zoomScalePageLayoutView="0" workbookViewId="0" topLeftCell="A1">
      <selection activeCell="A1" sqref="A1:B1"/>
    </sheetView>
  </sheetViews>
  <sheetFormatPr defaultColWidth="8.8515625" defaultRowHeight="15"/>
  <cols>
    <col min="1" max="1" width="8.8515625" style="64" customWidth="1"/>
    <col min="2" max="2" width="28.28125" style="3" customWidth="1"/>
    <col min="3" max="3" width="8.8515625" style="3" customWidth="1"/>
    <col min="4" max="4" width="9.57421875" style="3" bestFit="1" customWidth="1"/>
    <col min="5" max="7" width="8.8515625" style="3" customWidth="1"/>
    <col min="8" max="8" width="11.28125" style="3" bestFit="1" customWidth="1"/>
    <col min="9" max="11" width="14.7109375" style="3" customWidth="1"/>
    <col min="12" max="16384" width="8.8515625" style="3" customWidth="1"/>
  </cols>
  <sheetData>
    <row r="1" spans="1:2" ht="25.5" customHeight="1">
      <c r="A1" s="217" t="s">
        <v>232</v>
      </c>
      <c r="B1" s="217"/>
    </row>
    <row r="2" ht="25.5" customHeight="1" thickBot="1">
      <c r="B2" s="9"/>
    </row>
    <row r="3" spans="1:11" ht="25.5" customHeight="1" thickBot="1">
      <c r="A3" s="114" t="s">
        <v>1583</v>
      </c>
      <c r="B3" s="100" t="s">
        <v>1</v>
      </c>
      <c r="C3" s="100" t="s">
        <v>2</v>
      </c>
      <c r="D3" s="110" t="s">
        <v>144</v>
      </c>
      <c r="E3" s="112"/>
      <c r="F3" s="110" t="s">
        <v>79</v>
      </c>
      <c r="G3" s="112"/>
      <c r="H3" s="100" t="s">
        <v>1334</v>
      </c>
      <c r="I3" s="102" t="s">
        <v>1576</v>
      </c>
      <c r="J3" s="102"/>
      <c r="K3" s="102"/>
    </row>
    <row r="4" spans="1:11" ht="25.5" customHeight="1" thickBot="1">
      <c r="A4" s="116"/>
      <c r="B4" s="109"/>
      <c r="C4" s="109"/>
      <c r="D4" s="10" t="s">
        <v>145</v>
      </c>
      <c r="E4" s="100" t="s">
        <v>5</v>
      </c>
      <c r="F4" s="100" t="s">
        <v>233</v>
      </c>
      <c r="G4" s="100" t="s">
        <v>84</v>
      </c>
      <c r="H4" s="109"/>
      <c r="I4" s="102"/>
      <c r="J4" s="102"/>
      <c r="K4" s="102"/>
    </row>
    <row r="5" spans="1:11" ht="25.5" customHeight="1" thickBot="1">
      <c r="A5" s="115"/>
      <c r="B5" s="101"/>
      <c r="C5" s="101"/>
      <c r="D5" s="11" t="s">
        <v>4</v>
      </c>
      <c r="E5" s="101"/>
      <c r="F5" s="101"/>
      <c r="G5" s="101"/>
      <c r="H5" s="109"/>
      <c r="I5" s="39" t="s">
        <v>1577</v>
      </c>
      <c r="J5" s="39" t="s">
        <v>1578</v>
      </c>
      <c r="K5" s="39" t="s">
        <v>1579</v>
      </c>
    </row>
    <row r="6" spans="1:11" ht="25.5" customHeight="1" thickBot="1">
      <c r="A6" s="63" t="s">
        <v>1584</v>
      </c>
      <c r="B6" s="46" t="s">
        <v>234</v>
      </c>
      <c r="C6" s="25" t="s">
        <v>1085</v>
      </c>
      <c r="D6" s="25" t="s">
        <v>235</v>
      </c>
      <c r="E6" s="25" t="s">
        <v>9</v>
      </c>
      <c r="F6" s="25" t="s">
        <v>1156</v>
      </c>
      <c r="G6" s="25" t="s">
        <v>1329</v>
      </c>
      <c r="H6" s="47" t="s">
        <v>1383</v>
      </c>
      <c r="I6" s="94">
        <f>12625*0.00336</f>
        <v>42.42</v>
      </c>
      <c r="J6" s="94">
        <f>14718*0.00336</f>
        <v>49.45248</v>
      </c>
      <c r="K6" s="94">
        <v>0</v>
      </c>
    </row>
    <row r="7" spans="1:11" ht="25.5" customHeight="1" thickBot="1">
      <c r="A7" s="114" t="s">
        <v>1585</v>
      </c>
      <c r="B7" s="14" t="s">
        <v>236</v>
      </c>
      <c r="C7" s="100" t="s">
        <v>1085</v>
      </c>
      <c r="D7" s="107">
        <v>3.19</v>
      </c>
      <c r="E7" s="100" t="s">
        <v>9</v>
      </c>
      <c r="F7" s="100" t="s">
        <v>1156</v>
      </c>
      <c r="G7" s="100" t="s">
        <v>1329</v>
      </c>
      <c r="H7" s="104" t="s">
        <v>1384</v>
      </c>
      <c r="I7" s="144">
        <f>12625*0.00336</f>
        <v>42.42</v>
      </c>
      <c r="J7" s="144">
        <f>8910*0.00336</f>
        <v>29.9376</v>
      </c>
      <c r="K7" s="144">
        <f>2256*0.00336</f>
        <v>7.58016</v>
      </c>
    </row>
    <row r="8" spans="1:11" ht="25.5" customHeight="1" thickBot="1">
      <c r="A8" s="116"/>
      <c r="B8" s="15" t="s">
        <v>237</v>
      </c>
      <c r="C8" s="109"/>
      <c r="D8" s="143"/>
      <c r="E8" s="109"/>
      <c r="F8" s="109"/>
      <c r="G8" s="109"/>
      <c r="H8" s="104"/>
      <c r="I8" s="145"/>
      <c r="J8" s="145"/>
      <c r="K8" s="145"/>
    </row>
    <row r="9" spans="1:11" ht="25.5" customHeight="1" thickBot="1">
      <c r="A9" s="115"/>
      <c r="B9" s="17" t="s">
        <v>238</v>
      </c>
      <c r="C9" s="101"/>
      <c r="D9" s="108"/>
      <c r="E9" s="101"/>
      <c r="F9" s="101"/>
      <c r="G9" s="101"/>
      <c r="H9" s="104"/>
      <c r="I9" s="146"/>
      <c r="J9" s="146"/>
      <c r="K9" s="146"/>
    </row>
    <row r="10" spans="1:11" ht="25.5" customHeight="1" thickBot="1">
      <c r="A10" s="114" t="s">
        <v>1586</v>
      </c>
      <c r="B10" s="14" t="s">
        <v>236</v>
      </c>
      <c r="C10" s="100" t="s">
        <v>1085</v>
      </c>
      <c r="D10" s="140">
        <v>0.7</v>
      </c>
      <c r="E10" s="100" t="s">
        <v>9</v>
      </c>
      <c r="F10" s="100" t="s">
        <v>1156</v>
      </c>
      <c r="G10" s="100" t="s">
        <v>1329</v>
      </c>
      <c r="H10" s="104" t="s">
        <v>1385</v>
      </c>
      <c r="I10" s="144">
        <f>13635*0.00336</f>
        <v>45.8136</v>
      </c>
      <c r="J10" s="144">
        <f>3300*0.00336</f>
        <v>11.088000000000001</v>
      </c>
      <c r="K10" s="144">
        <f>1138*0.00336</f>
        <v>3.82368</v>
      </c>
    </row>
    <row r="11" spans="1:11" ht="25.5" customHeight="1" thickBot="1">
      <c r="A11" s="116"/>
      <c r="B11" s="15" t="s">
        <v>237</v>
      </c>
      <c r="C11" s="109"/>
      <c r="D11" s="141"/>
      <c r="E11" s="109"/>
      <c r="F11" s="109"/>
      <c r="G11" s="109"/>
      <c r="H11" s="104"/>
      <c r="I11" s="145"/>
      <c r="J11" s="145"/>
      <c r="K11" s="145"/>
    </row>
    <row r="12" spans="1:11" ht="25.5" customHeight="1" thickBot="1">
      <c r="A12" s="115"/>
      <c r="B12" s="17" t="s">
        <v>239</v>
      </c>
      <c r="C12" s="101"/>
      <c r="D12" s="142"/>
      <c r="E12" s="101"/>
      <c r="F12" s="101"/>
      <c r="G12" s="101"/>
      <c r="H12" s="104"/>
      <c r="I12" s="146"/>
      <c r="J12" s="146"/>
      <c r="K12" s="146"/>
    </row>
    <row r="13" spans="1:11" ht="31.5" customHeight="1" thickBot="1">
      <c r="A13" s="63" t="s">
        <v>1587</v>
      </c>
      <c r="B13" s="12" t="s">
        <v>240</v>
      </c>
      <c r="C13" s="13" t="s">
        <v>1085</v>
      </c>
      <c r="D13" s="13" t="s">
        <v>241</v>
      </c>
      <c r="E13" s="13" t="s">
        <v>9</v>
      </c>
      <c r="F13" s="13" t="s">
        <v>1156</v>
      </c>
      <c r="G13" s="13" t="s">
        <v>1329</v>
      </c>
      <c r="H13" s="34" t="s">
        <v>1386</v>
      </c>
      <c r="I13" s="94">
        <f>13635*0.00336</f>
        <v>45.8136</v>
      </c>
      <c r="J13" s="94">
        <f>9372*0.00336</f>
        <v>31.48992</v>
      </c>
      <c r="K13" s="94">
        <f>2256*0.00336</f>
        <v>7.58016</v>
      </c>
    </row>
    <row r="14" spans="1:11" ht="25.5" customHeight="1" thickBot="1">
      <c r="A14" s="114" t="s">
        <v>1589</v>
      </c>
      <c r="B14" s="14" t="s">
        <v>242</v>
      </c>
      <c r="C14" s="100" t="s">
        <v>1085</v>
      </c>
      <c r="D14" s="100" t="s">
        <v>244</v>
      </c>
      <c r="E14" s="100" t="s">
        <v>9</v>
      </c>
      <c r="F14" s="100" t="s">
        <v>1090</v>
      </c>
      <c r="G14" s="100" t="s">
        <v>193</v>
      </c>
      <c r="H14" s="104" t="s">
        <v>1387</v>
      </c>
      <c r="I14" s="144">
        <f>2047*0.00336</f>
        <v>6.8779200000000005</v>
      </c>
      <c r="J14" s="144">
        <f>7359*0.00336</f>
        <v>24.72624</v>
      </c>
      <c r="K14" s="144">
        <v>0</v>
      </c>
    </row>
    <row r="15" spans="1:11" ht="25.5" customHeight="1" thickBot="1">
      <c r="A15" s="115"/>
      <c r="B15" s="17" t="s">
        <v>243</v>
      </c>
      <c r="C15" s="101"/>
      <c r="D15" s="101"/>
      <c r="E15" s="101"/>
      <c r="F15" s="101"/>
      <c r="G15" s="101"/>
      <c r="H15" s="104"/>
      <c r="I15" s="146"/>
      <c r="J15" s="146"/>
      <c r="K15" s="146"/>
    </row>
    <row r="16" spans="1:11" ht="25.5" customHeight="1">
      <c r="A16" s="114" t="s">
        <v>1590</v>
      </c>
      <c r="B16" s="14" t="s">
        <v>245</v>
      </c>
      <c r="C16" s="100" t="s">
        <v>1085</v>
      </c>
      <c r="D16" s="100" t="s">
        <v>74</v>
      </c>
      <c r="E16" s="100" t="s">
        <v>9</v>
      </c>
      <c r="F16" s="100" t="s">
        <v>1090</v>
      </c>
      <c r="G16" s="100" t="s">
        <v>193</v>
      </c>
      <c r="H16" s="114" t="s">
        <v>1388</v>
      </c>
      <c r="I16" s="144">
        <f>2449*0.00336</f>
        <v>8.22864</v>
      </c>
      <c r="J16" s="144">
        <f>7359*0.00336</f>
        <v>24.72624</v>
      </c>
      <c r="K16" s="144">
        <v>0</v>
      </c>
    </row>
    <row r="17" spans="1:11" ht="25.5" customHeight="1" thickBot="1">
      <c r="A17" s="115"/>
      <c r="B17" s="17" t="s">
        <v>246</v>
      </c>
      <c r="C17" s="101"/>
      <c r="D17" s="101"/>
      <c r="E17" s="101"/>
      <c r="F17" s="101"/>
      <c r="G17" s="101"/>
      <c r="H17" s="115"/>
      <c r="I17" s="146"/>
      <c r="J17" s="146"/>
      <c r="K17" s="146"/>
    </row>
    <row r="18" spans="1:11" ht="25.5" customHeight="1" thickBot="1">
      <c r="A18" s="63" t="s">
        <v>1591</v>
      </c>
      <c r="B18" s="46" t="s">
        <v>247</v>
      </c>
      <c r="C18" s="25" t="s">
        <v>1571</v>
      </c>
      <c r="D18" s="25" t="s">
        <v>248</v>
      </c>
      <c r="E18" s="25" t="s">
        <v>9</v>
      </c>
      <c r="F18" s="25" t="s">
        <v>30</v>
      </c>
      <c r="G18" s="25" t="s">
        <v>30</v>
      </c>
      <c r="H18" s="72" t="s">
        <v>1389</v>
      </c>
      <c r="I18" s="94">
        <v>0</v>
      </c>
      <c r="J18" s="94">
        <f>990*0.00336</f>
        <v>3.3264</v>
      </c>
      <c r="K18" s="94">
        <f>356*0.00336</f>
        <v>1.1961600000000001</v>
      </c>
    </row>
    <row r="19" ht="25.5" customHeight="1"/>
    <row r="20" ht="25.5" customHeight="1"/>
    <row r="21" ht="25.5" customHeight="1"/>
    <row r="22" ht="25.5" customHeight="1"/>
    <row r="23" ht="25.5" customHeight="1"/>
    <row r="24" ht="25.5" customHeight="1"/>
  </sheetData>
  <sheetProtection/>
  <mergeCells count="51">
    <mergeCell ref="A1:B1"/>
    <mergeCell ref="A3:A5"/>
    <mergeCell ref="A7:A9"/>
    <mergeCell ref="A10:A12"/>
    <mergeCell ref="A14:A15"/>
    <mergeCell ref="A16:A17"/>
    <mergeCell ref="B3:B5"/>
    <mergeCell ref="K14:K15"/>
    <mergeCell ref="J14:J15"/>
    <mergeCell ref="I14:I15"/>
    <mergeCell ref="I16:I17"/>
    <mergeCell ref="J16:J17"/>
    <mergeCell ref="K16:K17"/>
    <mergeCell ref="I3:K4"/>
    <mergeCell ref="I7:I9"/>
    <mergeCell ref="J7:J9"/>
    <mergeCell ref="K7:K9"/>
    <mergeCell ref="I10:I12"/>
    <mergeCell ref="J10:J12"/>
    <mergeCell ref="K10:K12"/>
    <mergeCell ref="D10:D12"/>
    <mergeCell ref="E10:E12"/>
    <mergeCell ref="F10:F12"/>
    <mergeCell ref="G10:G12"/>
    <mergeCell ref="C7:C9"/>
    <mergeCell ref="D7:D9"/>
    <mergeCell ref="E7:E9"/>
    <mergeCell ref="F7:F9"/>
    <mergeCell ref="G7:G9"/>
    <mergeCell ref="C3:C5"/>
    <mergeCell ref="D3:E3"/>
    <mergeCell ref="F3:G3"/>
    <mergeCell ref="E4:E5"/>
    <mergeCell ref="C16:C17"/>
    <mergeCell ref="D16:D17"/>
    <mergeCell ref="E16:E17"/>
    <mergeCell ref="F16:F17"/>
    <mergeCell ref="G16:G17"/>
    <mergeCell ref="C10:C12"/>
    <mergeCell ref="H7:H9"/>
    <mergeCell ref="H10:H12"/>
    <mergeCell ref="H14:H15"/>
    <mergeCell ref="H3:H5"/>
    <mergeCell ref="F4:F5"/>
    <mergeCell ref="G4:G5"/>
    <mergeCell ref="H16:H17"/>
    <mergeCell ref="C14:C15"/>
    <mergeCell ref="D14:D15"/>
    <mergeCell ref="E14:E15"/>
    <mergeCell ref="F14:F15"/>
    <mergeCell ref="G14:G1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4"/>
  </sheetPr>
  <dimension ref="A1:L20"/>
  <sheetViews>
    <sheetView zoomScalePageLayoutView="0" workbookViewId="0" topLeftCell="A1">
      <selection activeCell="A1" sqref="A1:B1"/>
    </sheetView>
  </sheetViews>
  <sheetFormatPr defaultColWidth="8.8515625" defaultRowHeight="15"/>
  <cols>
    <col min="1" max="1" width="8.8515625" style="35" customWidth="1"/>
    <col min="2" max="2" width="26.421875" style="3" customWidth="1"/>
    <col min="3" max="8" width="8.8515625" style="3" customWidth="1"/>
    <col min="9" max="9" width="11.28125" style="3" bestFit="1" customWidth="1"/>
    <col min="10" max="12" width="15.140625" style="3" customWidth="1"/>
    <col min="13" max="16384" width="8.8515625" style="3" customWidth="1"/>
  </cols>
  <sheetData>
    <row r="1" spans="1:2" ht="15">
      <c r="A1" s="217" t="s">
        <v>194</v>
      </c>
      <c r="B1" s="217"/>
    </row>
    <row r="2" ht="15.75" thickBot="1">
      <c r="B2" s="9"/>
    </row>
    <row r="3" spans="1:12" ht="15.75" thickBot="1">
      <c r="A3" s="114" t="s">
        <v>1583</v>
      </c>
      <c r="B3" s="100" t="s">
        <v>1</v>
      </c>
      <c r="C3" s="100" t="s">
        <v>2</v>
      </c>
      <c r="D3" s="110" t="s">
        <v>144</v>
      </c>
      <c r="E3" s="111"/>
      <c r="F3" s="112"/>
      <c r="G3" s="110" t="s">
        <v>79</v>
      </c>
      <c r="H3" s="112"/>
      <c r="I3" s="100" t="s">
        <v>1334</v>
      </c>
      <c r="J3" s="102" t="s">
        <v>1576</v>
      </c>
      <c r="K3" s="102"/>
      <c r="L3" s="102"/>
    </row>
    <row r="4" spans="1:12" ht="30.75" thickBot="1">
      <c r="A4" s="116"/>
      <c r="B4" s="109"/>
      <c r="C4" s="109"/>
      <c r="D4" s="13" t="s">
        <v>80</v>
      </c>
      <c r="E4" s="13" t="s">
        <v>81</v>
      </c>
      <c r="F4" s="100" t="s">
        <v>5</v>
      </c>
      <c r="G4" s="100" t="s">
        <v>146</v>
      </c>
      <c r="H4" s="100" t="s">
        <v>84</v>
      </c>
      <c r="I4" s="109"/>
      <c r="J4" s="102"/>
      <c r="K4" s="102"/>
      <c r="L4" s="102"/>
    </row>
    <row r="5" spans="1:12" ht="15.75" thickBot="1">
      <c r="A5" s="115"/>
      <c r="B5" s="101"/>
      <c r="C5" s="101"/>
      <c r="D5" s="110" t="s">
        <v>26</v>
      </c>
      <c r="E5" s="112"/>
      <c r="F5" s="101"/>
      <c r="G5" s="101"/>
      <c r="H5" s="101"/>
      <c r="I5" s="109"/>
      <c r="J5" s="39" t="s">
        <v>1577</v>
      </c>
      <c r="K5" s="39" t="s">
        <v>1578</v>
      </c>
      <c r="L5" s="39" t="s">
        <v>1579</v>
      </c>
    </row>
    <row r="6" spans="1:12" ht="30.75" thickBot="1">
      <c r="A6" s="114" t="s">
        <v>1584</v>
      </c>
      <c r="B6" s="14" t="s">
        <v>195</v>
      </c>
      <c r="C6" s="100" t="s">
        <v>148</v>
      </c>
      <c r="D6" s="100" t="s">
        <v>197</v>
      </c>
      <c r="E6" s="100" t="s">
        <v>30</v>
      </c>
      <c r="F6" s="100" t="s">
        <v>9</v>
      </c>
      <c r="G6" s="10" t="s">
        <v>198</v>
      </c>
      <c r="H6" s="10" t="s">
        <v>199</v>
      </c>
      <c r="I6" s="104" t="s">
        <v>1377</v>
      </c>
      <c r="J6" s="144">
        <f>14862*0.00336</f>
        <v>49.93632</v>
      </c>
      <c r="K6" s="144">
        <f>31746*0.00336</f>
        <v>106.66656</v>
      </c>
      <c r="L6" s="144">
        <v>0</v>
      </c>
    </row>
    <row r="7" spans="1:12" ht="18" thickBot="1">
      <c r="A7" s="115"/>
      <c r="B7" s="17" t="s">
        <v>196</v>
      </c>
      <c r="C7" s="101"/>
      <c r="D7" s="101"/>
      <c r="E7" s="101"/>
      <c r="F7" s="101"/>
      <c r="G7" s="11" t="s">
        <v>1140</v>
      </c>
      <c r="H7" s="11" t="s">
        <v>193</v>
      </c>
      <c r="I7" s="104"/>
      <c r="J7" s="146"/>
      <c r="K7" s="146"/>
      <c r="L7" s="146"/>
    </row>
    <row r="8" spans="1:12" ht="45.75" thickBot="1">
      <c r="A8" s="114" t="s">
        <v>1585</v>
      </c>
      <c r="B8" s="14" t="s">
        <v>200</v>
      </c>
      <c r="C8" s="100" t="s">
        <v>7</v>
      </c>
      <c r="D8" s="100" t="s">
        <v>202</v>
      </c>
      <c r="E8" s="100" t="s">
        <v>203</v>
      </c>
      <c r="F8" s="100" t="s">
        <v>9</v>
      </c>
      <c r="G8" s="10" t="s">
        <v>204</v>
      </c>
      <c r="H8" s="10" t="s">
        <v>205</v>
      </c>
      <c r="I8" s="104" t="s">
        <v>1378</v>
      </c>
      <c r="J8" s="144">
        <f>3006*0.00336</f>
        <v>10.10016</v>
      </c>
      <c r="K8" s="144">
        <f>1584*0.00336</f>
        <v>5.32224</v>
      </c>
      <c r="L8" s="144">
        <v>0</v>
      </c>
    </row>
    <row r="9" spans="1:12" ht="33" thickBot="1">
      <c r="A9" s="115"/>
      <c r="B9" s="17" t="s">
        <v>201</v>
      </c>
      <c r="C9" s="101"/>
      <c r="D9" s="101"/>
      <c r="E9" s="101"/>
      <c r="F9" s="101"/>
      <c r="G9" s="11" t="s">
        <v>1141</v>
      </c>
      <c r="H9" s="11" t="s">
        <v>206</v>
      </c>
      <c r="I9" s="104"/>
      <c r="J9" s="146"/>
      <c r="K9" s="146"/>
      <c r="L9" s="146"/>
    </row>
    <row r="10" spans="1:12" ht="63" thickBot="1">
      <c r="A10" s="114" t="s">
        <v>1586</v>
      </c>
      <c r="B10" s="14" t="s">
        <v>207</v>
      </c>
      <c r="C10" s="100" t="s">
        <v>7</v>
      </c>
      <c r="D10" s="10" t="s">
        <v>210</v>
      </c>
      <c r="E10" s="10" t="s">
        <v>211</v>
      </c>
      <c r="F10" s="10" t="s">
        <v>212</v>
      </c>
      <c r="G10" s="10" t="s">
        <v>213</v>
      </c>
      <c r="H10" s="10" t="s">
        <v>1142</v>
      </c>
      <c r="I10" s="104" t="s">
        <v>1379</v>
      </c>
      <c r="J10" s="144">
        <f>2027*0.00336</f>
        <v>6.81072</v>
      </c>
      <c r="K10" s="144">
        <f>5016*0.00336</f>
        <v>16.85376</v>
      </c>
      <c r="L10" s="144">
        <f>264*0.00336</f>
        <v>0.88704</v>
      </c>
    </row>
    <row r="11" spans="1:12" ht="30.75" thickBot="1">
      <c r="A11" s="116"/>
      <c r="B11" s="15" t="s">
        <v>208</v>
      </c>
      <c r="C11" s="109"/>
      <c r="D11" s="30">
        <v>1.5</v>
      </c>
      <c r="E11" s="16" t="s">
        <v>112</v>
      </c>
      <c r="F11" s="16" t="s">
        <v>9</v>
      </c>
      <c r="G11" s="16" t="s">
        <v>214</v>
      </c>
      <c r="H11" s="16" t="s">
        <v>215</v>
      </c>
      <c r="I11" s="104"/>
      <c r="J11" s="145"/>
      <c r="K11" s="145"/>
      <c r="L11" s="145"/>
    </row>
    <row r="12" spans="1:12" ht="30.75" thickBot="1">
      <c r="A12" s="115"/>
      <c r="B12" s="17" t="s">
        <v>209</v>
      </c>
      <c r="C12" s="101"/>
      <c r="D12" s="11"/>
      <c r="E12" s="11"/>
      <c r="F12" s="11"/>
      <c r="G12" s="11"/>
      <c r="H12" s="11"/>
      <c r="I12" s="104"/>
      <c r="J12" s="146"/>
      <c r="K12" s="146"/>
      <c r="L12" s="146"/>
    </row>
    <row r="13" spans="1:12" ht="63" thickBot="1">
      <c r="A13" s="114" t="s">
        <v>1587</v>
      </c>
      <c r="B13" s="14" t="s">
        <v>207</v>
      </c>
      <c r="C13" s="100" t="s">
        <v>7</v>
      </c>
      <c r="D13" s="10" t="s">
        <v>217</v>
      </c>
      <c r="E13" s="10" t="s">
        <v>107</v>
      </c>
      <c r="F13" s="10" t="s">
        <v>212</v>
      </c>
      <c r="G13" s="10" t="s">
        <v>213</v>
      </c>
      <c r="H13" s="10" t="s">
        <v>1142</v>
      </c>
      <c r="I13" s="104" t="s">
        <v>1380</v>
      </c>
      <c r="J13" s="144">
        <f>2006*0.00336</f>
        <v>6.74016</v>
      </c>
      <c r="K13" s="144">
        <f>9504*0.00336</f>
        <v>31.93344</v>
      </c>
      <c r="L13" s="144">
        <f>1056*0.00336</f>
        <v>3.54816</v>
      </c>
    </row>
    <row r="14" spans="1:12" ht="30.75" thickBot="1">
      <c r="A14" s="116"/>
      <c r="B14" s="15" t="s">
        <v>208</v>
      </c>
      <c r="C14" s="109"/>
      <c r="D14" s="30">
        <v>1.8</v>
      </c>
      <c r="E14" s="16" t="s">
        <v>218</v>
      </c>
      <c r="F14" s="16" t="s">
        <v>9</v>
      </c>
      <c r="G14" s="16" t="s">
        <v>214</v>
      </c>
      <c r="H14" s="16" t="s">
        <v>215</v>
      </c>
      <c r="I14" s="104"/>
      <c r="J14" s="145"/>
      <c r="K14" s="145"/>
      <c r="L14" s="145"/>
    </row>
    <row r="15" spans="1:12" ht="30.75" thickBot="1">
      <c r="A15" s="115"/>
      <c r="B15" s="17" t="s">
        <v>216</v>
      </c>
      <c r="C15" s="101"/>
      <c r="D15" s="11"/>
      <c r="E15" s="11"/>
      <c r="F15" s="11"/>
      <c r="G15" s="11"/>
      <c r="H15" s="11"/>
      <c r="I15" s="104"/>
      <c r="J15" s="146"/>
      <c r="K15" s="146"/>
      <c r="L15" s="146"/>
    </row>
    <row r="16" spans="1:12" ht="63" thickBot="1">
      <c r="A16" s="114" t="s">
        <v>1589</v>
      </c>
      <c r="B16" s="14" t="s">
        <v>219</v>
      </c>
      <c r="C16" s="100" t="s">
        <v>7</v>
      </c>
      <c r="D16" s="10" t="s">
        <v>222</v>
      </c>
      <c r="E16" s="10" t="s">
        <v>223</v>
      </c>
      <c r="F16" s="10" t="s">
        <v>212</v>
      </c>
      <c r="G16" s="10" t="s">
        <v>213</v>
      </c>
      <c r="H16" s="10" t="s">
        <v>1142</v>
      </c>
      <c r="I16" s="104" t="s">
        <v>1381</v>
      </c>
      <c r="J16" s="144">
        <f>15405*0.00336</f>
        <v>51.7608</v>
      </c>
      <c r="K16" s="144">
        <f>44847*0.00336</f>
        <v>150.68592</v>
      </c>
      <c r="L16" s="144">
        <f>145653*0.00336</f>
        <v>489.39408000000003</v>
      </c>
    </row>
    <row r="17" spans="1:12" ht="48" thickBot="1">
      <c r="A17" s="116"/>
      <c r="B17" s="15" t="s">
        <v>220</v>
      </c>
      <c r="C17" s="109"/>
      <c r="D17" s="30">
        <v>19.5</v>
      </c>
      <c r="E17" s="16" t="s">
        <v>202</v>
      </c>
      <c r="F17" s="16" t="s">
        <v>9</v>
      </c>
      <c r="G17" s="16" t="s">
        <v>213</v>
      </c>
      <c r="H17" s="16" t="s">
        <v>1143</v>
      </c>
      <c r="I17" s="104"/>
      <c r="J17" s="145"/>
      <c r="K17" s="145"/>
      <c r="L17" s="145"/>
    </row>
    <row r="18" spans="1:12" ht="45.75" thickBot="1">
      <c r="A18" s="115"/>
      <c r="B18" s="17" t="s">
        <v>221</v>
      </c>
      <c r="C18" s="101"/>
      <c r="D18" s="11"/>
      <c r="E18" s="11"/>
      <c r="F18" s="11"/>
      <c r="G18" s="11" t="s">
        <v>224</v>
      </c>
      <c r="H18" s="11" t="s">
        <v>225</v>
      </c>
      <c r="I18" s="104"/>
      <c r="J18" s="146"/>
      <c r="K18" s="146"/>
      <c r="L18" s="146"/>
    </row>
    <row r="19" spans="1:12" ht="30.75" thickBot="1">
      <c r="A19" s="114" t="s">
        <v>1590</v>
      </c>
      <c r="B19" s="14" t="s">
        <v>226</v>
      </c>
      <c r="C19" s="100" t="s">
        <v>148</v>
      </c>
      <c r="D19" s="10" t="s">
        <v>228</v>
      </c>
      <c r="E19" s="10" t="s">
        <v>105</v>
      </c>
      <c r="F19" s="10" t="s">
        <v>230</v>
      </c>
      <c r="G19" s="100" t="s">
        <v>231</v>
      </c>
      <c r="H19" s="100" t="s">
        <v>1144</v>
      </c>
      <c r="I19" s="104" t="s">
        <v>1382</v>
      </c>
      <c r="J19" s="144">
        <f>435*0.00336</f>
        <v>1.4616</v>
      </c>
      <c r="K19" s="144">
        <f>6798*0.00336</f>
        <v>22.84128</v>
      </c>
      <c r="L19" s="144">
        <v>0</v>
      </c>
    </row>
    <row r="20" spans="1:12" ht="30.75" thickBot="1">
      <c r="A20" s="115"/>
      <c r="B20" s="17" t="s">
        <v>227</v>
      </c>
      <c r="C20" s="101"/>
      <c r="D20" s="11" t="s">
        <v>229</v>
      </c>
      <c r="E20" s="11" t="s">
        <v>106</v>
      </c>
      <c r="F20" s="11" t="s">
        <v>9</v>
      </c>
      <c r="G20" s="101"/>
      <c r="H20" s="101"/>
      <c r="I20" s="104"/>
      <c r="J20" s="146"/>
      <c r="K20" s="146"/>
      <c r="L20" s="146"/>
    </row>
    <row r="24" ht="30.75" customHeight="1"/>
  </sheetData>
  <sheetProtection/>
  <mergeCells count="56">
    <mergeCell ref="A16:A18"/>
    <mergeCell ref="A19:A20"/>
    <mergeCell ref="A1:B1"/>
    <mergeCell ref="A3:A5"/>
    <mergeCell ref="A6:A7"/>
    <mergeCell ref="A8:A9"/>
    <mergeCell ref="A10:A12"/>
    <mergeCell ref="A13:A15"/>
    <mergeCell ref="B3:B5"/>
    <mergeCell ref="J19:J20"/>
    <mergeCell ref="K19:K20"/>
    <mergeCell ref="L19:L20"/>
    <mergeCell ref="J16:J18"/>
    <mergeCell ref="L16:L18"/>
    <mergeCell ref="K16:K18"/>
    <mergeCell ref="L10:L12"/>
    <mergeCell ref="K10:K12"/>
    <mergeCell ref="J10:J12"/>
    <mergeCell ref="J13:J15"/>
    <mergeCell ref="K13:K15"/>
    <mergeCell ref="L13:L15"/>
    <mergeCell ref="J3:L4"/>
    <mergeCell ref="J6:J7"/>
    <mergeCell ref="K6:K7"/>
    <mergeCell ref="L6:L7"/>
    <mergeCell ref="L8:L9"/>
    <mergeCell ref="K8:K9"/>
    <mergeCell ref="J8:J9"/>
    <mergeCell ref="C3:C5"/>
    <mergeCell ref="D3:F3"/>
    <mergeCell ref="G3:H3"/>
    <mergeCell ref="F4:F5"/>
    <mergeCell ref="G4:G5"/>
    <mergeCell ref="H4:H5"/>
    <mergeCell ref="D5:E5"/>
    <mergeCell ref="C6:C7"/>
    <mergeCell ref="D6:D7"/>
    <mergeCell ref="E6:E7"/>
    <mergeCell ref="F6:F7"/>
    <mergeCell ref="C8:C9"/>
    <mergeCell ref="D8:D9"/>
    <mergeCell ref="E8:E9"/>
    <mergeCell ref="F8:F9"/>
    <mergeCell ref="C10:C12"/>
    <mergeCell ref="C13:C15"/>
    <mergeCell ref="C16:C18"/>
    <mergeCell ref="C19:C20"/>
    <mergeCell ref="G19:G20"/>
    <mergeCell ref="H19:H20"/>
    <mergeCell ref="I3:I5"/>
    <mergeCell ref="I19:I20"/>
    <mergeCell ref="I16:I18"/>
    <mergeCell ref="I13:I15"/>
    <mergeCell ref="I10:I12"/>
    <mergeCell ref="I8:I9"/>
    <mergeCell ref="I6:I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4"/>
  </sheetPr>
  <dimension ref="A1:K21"/>
  <sheetViews>
    <sheetView zoomScalePageLayoutView="0" workbookViewId="0" topLeftCell="A1">
      <selection activeCell="A1" sqref="A1:B1"/>
    </sheetView>
  </sheetViews>
  <sheetFormatPr defaultColWidth="8.8515625" defaultRowHeight="15"/>
  <cols>
    <col min="1" max="1" width="8.8515625" style="35" customWidth="1"/>
    <col min="2" max="2" width="34.57421875" style="3" customWidth="1"/>
    <col min="3" max="7" width="8.8515625" style="3" customWidth="1"/>
    <col min="8" max="8" width="11.28125" style="3" bestFit="1" customWidth="1"/>
    <col min="9" max="11" width="15.7109375" style="3" customWidth="1"/>
    <col min="12" max="16384" width="8.8515625" style="3" customWidth="1"/>
  </cols>
  <sheetData>
    <row r="1" spans="1:2" ht="29.25" customHeight="1">
      <c r="A1" s="217" t="s">
        <v>1331</v>
      </c>
      <c r="B1" s="217"/>
    </row>
    <row r="2" ht="29.25" customHeight="1" thickBot="1">
      <c r="B2" s="9"/>
    </row>
    <row r="3" spans="1:11" ht="29.25" customHeight="1" thickBot="1">
      <c r="A3" s="114" t="s">
        <v>1583</v>
      </c>
      <c r="B3" s="100" t="s">
        <v>1</v>
      </c>
      <c r="C3" s="100" t="s">
        <v>2</v>
      </c>
      <c r="D3" s="110" t="s">
        <v>144</v>
      </c>
      <c r="E3" s="112"/>
      <c r="F3" s="110" t="s">
        <v>79</v>
      </c>
      <c r="G3" s="112"/>
      <c r="H3" s="100" t="s">
        <v>1334</v>
      </c>
      <c r="I3" s="102" t="s">
        <v>1576</v>
      </c>
      <c r="J3" s="102"/>
      <c r="K3" s="102"/>
    </row>
    <row r="4" spans="1:11" ht="29.25" customHeight="1" thickBot="1">
      <c r="A4" s="116"/>
      <c r="B4" s="109"/>
      <c r="C4" s="109"/>
      <c r="D4" s="10" t="s">
        <v>3</v>
      </c>
      <c r="E4" s="100" t="s">
        <v>5</v>
      </c>
      <c r="F4" s="100" t="s">
        <v>146</v>
      </c>
      <c r="G4" s="100" t="s">
        <v>84</v>
      </c>
      <c r="H4" s="109"/>
      <c r="I4" s="102"/>
      <c r="J4" s="102"/>
      <c r="K4" s="102"/>
    </row>
    <row r="5" spans="1:11" ht="29.25" customHeight="1" thickBot="1">
      <c r="A5" s="115"/>
      <c r="B5" s="101"/>
      <c r="C5" s="101"/>
      <c r="D5" s="11" t="s">
        <v>4</v>
      </c>
      <c r="E5" s="101"/>
      <c r="F5" s="101"/>
      <c r="G5" s="101"/>
      <c r="H5" s="109"/>
      <c r="I5" s="40" t="s">
        <v>1577</v>
      </c>
      <c r="J5" s="40" t="s">
        <v>1578</v>
      </c>
      <c r="K5" s="40" t="s">
        <v>1579</v>
      </c>
    </row>
    <row r="6" spans="1:11" ht="60">
      <c r="A6" s="148" t="s">
        <v>1584</v>
      </c>
      <c r="B6" s="128" t="s">
        <v>249</v>
      </c>
      <c r="C6" s="130" t="s">
        <v>157</v>
      </c>
      <c r="D6" s="75" t="s">
        <v>250</v>
      </c>
      <c r="E6" s="130" t="s">
        <v>9</v>
      </c>
      <c r="F6" s="130" t="s">
        <v>158</v>
      </c>
      <c r="G6" s="130" t="s">
        <v>252</v>
      </c>
      <c r="H6" s="148" t="s">
        <v>1390</v>
      </c>
      <c r="I6" s="144">
        <f>29015*0.00336</f>
        <v>97.49040000000001</v>
      </c>
      <c r="J6" s="144">
        <f>7491*0.00336</f>
        <v>25.16976</v>
      </c>
      <c r="K6" s="144">
        <f>4385*0.00336</f>
        <v>14.733600000000001</v>
      </c>
    </row>
    <row r="7" spans="1:11" ht="30.75" thickBot="1">
      <c r="A7" s="149"/>
      <c r="B7" s="129"/>
      <c r="C7" s="131"/>
      <c r="D7" s="76" t="s">
        <v>251</v>
      </c>
      <c r="E7" s="131"/>
      <c r="F7" s="131"/>
      <c r="G7" s="131"/>
      <c r="H7" s="149"/>
      <c r="I7" s="146"/>
      <c r="J7" s="146"/>
      <c r="K7" s="146"/>
    </row>
    <row r="8" spans="1:11" ht="60">
      <c r="A8" s="148" t="s">
        <v>1585</v>
      </c>
      <c r="B8" s="128" t="s">
        <v>253</v>
      </c>
      <c r="C8" s="130" t="s">
        <v>157</v>
      </c>
      <c r="D8" s="75" t="s">
        <v>254</v>
      </c>
      <c r="E8" s="130" t="s">
        <v>9</v>
      </c>
      <c r="F8" s="75" t="s">
        <v>256</v>
      </c>
      <c r="G8" s="75" t="s">
        <v>1306</v>
      </c>
      <c r="H8" s="148" t="s">
        <v>1391</v>
      </c>
      <c r="I8" s="144">
        <f>2690*0.00336</f>
        <v>9.038400000000001</v>
      </c>
      <c r="J8" s="144">
        <f>1254*0.00336</f>
        <v>4.21344</v>
      </c>
      <c r="K8" s="144">
        <f>12825*0.00336</f>
        <v>43.092</v>
      </c>
    </row>
    <row r="9" spans="1:11" ht="29.25" customHeight="1">
      <c r="A9" s="150"/>
      <c r="B9" s="152"/>
      <c r="C9" s="153"/>
      <c r="D9" s="97" t="s">
        <v>255</v>
      </c>
      <c r="E9" s="153"/>
      <c r="F9" s="97" t="s">
        <v>257</v>
      </c>
      <c r="G9" s="97" t="s">
        <v>259</v>
      </c>
      <c r="H9" s="150"/>
      <c r="I9" s="145"/>
      <c r="J9" s="145"/>
      <c r="K9" s="145"/>
    </row>
    <row r="10" spans="1:11" ht="29.25" customHeight="1" thickBot="1">
      <c r="A10" s="149"/>
      <c r="B10" s="129"/>
      <c r="C10" s="131"/>
      <c r="D10" s="76"/>
      <c r="E10" s="131"/>
      <c r="F10" s="76" t="s">
        <v>258</v>
      </c>
      <c r="G10" s="76" t="s">
        <v>260</v>
      </c>
      <c r="H10" s="149"/>
      <c r="I10" s="146"/>
      <c r="J10" s="146"/>
      <c r="K10" s="146"/>
    </row>
    <row r="11" spans="1:11" ht="60" customHeight="1">
      <c r="A11" s="114" t="s">
        <v>1586</v>
      </c>
      <c r="B11" s="132" t="s">
        <v>261</v>
      </c>
      <c r="C11" s="100" t="s">
        <v>157</v>
      </c>
      <c r="D11" s="10" t="s">
        <v>262</v>
      </c>
      <c r="E11" s="100" t="s">
        <v>9</v>
      </c>
      <c r="F11" s="10" t="s">
        <v>256</v>
      </c>
      <c r="G11" s="10" t="s">
        <v>1306</v>
      </c>
      <c r="H11" s="114" t="s">
        <v>1392</v>
      </c>
      <c r="I11" s="144">
        <f>26650*0.00336</f>
        <v>89.544</v>
      </c>
      <c r="J11" s="144">
        <f>4356*0.00336</f>
        <v>14.63616</v>
      </c>
      <c r="K11" s="144">
        <f>8303*0.00336</f>
        <v>27.89808</v>
      </c>
    </row>
    <row r="12" spans="1:11" ht="29.25" customHeight="1">
      <c r="A12" s="116"/>
      <c r="B12" s="151"/>
      <c r="C12" s="109"/>
      <c r="D12" s="16" t="s">
        <v>263</v>
      </c>
      <c r="E12" s="109"/>
      <c r="F12" s="16" t="s">
        <v>256</v>
      </c>
      <c r="G12" s="16" t="s">
        <v>265</v>
      </c>
      <c r="H12" s="116"/>
      <c r="I12" s="145"/>
      <c r="J12" s="145"/>
      <c r="K12" s="145"/>
    </row>
    <row r="13" spans="1:11" ht="29.25" customHeight="1">
      <c r="A13" s="116"/>
      <c r="B13" s="151"/>
      <c r="C13" s="109"/>
      <c r="D13" s="16"/>
      <c r="E13" s="109"/>
      <c r="F13" s="16" t="s">
        <v>257</v>
      </c>
      <c r="G13" s="16" t="s">
        <v>259</v>
      </c>
      <c r="H13" s="116"/>
      <c r="I13" s="145"/>
      <c r="J13" s="145"/>
      <c r="K13" s="145"/>
    </row>
    <row r="14" spans="1:11" ht="29.25" customHeight="1" thickBot="1">
      <c r="A14" s="115"/>
      <c r="B14" s="133"/>
      <c r="C14" s="101"/>
      <c r="D14" s="11"/>
      <c r="E14" s="101"/>
      <c r="F14" s="11" t="s">
        <v>264</v>
      </c>
      <c r="G14" s="11" t="s">
        <v>266</v>
      </c>
      <c r="H14" s="115"/>
      <c r="I14" s="146"/>
      <c r="J14" s="146"/>
      <c r="K14" s="146"/>
    </row>
    <row r="15" spans="1:11" ht="60" customHeight="1">
      <c r="A15" s="114" t="s">
        <v>1587</v>
      </c>
      <c r="B15" s="132" t="s">
        <v>267</v>
      </c>
      <c r="C15" s="100" t="s">
        <v>157</v>
      </c>
      <c r="D15" s="10" t="s">
        <v>250</v>
      </c>
      <c r="E15" s="100" t="s">
        <v>9</v>
      </c>
      <c r="F15" s="100" t="s">
        <v>1332</v>
      </c>
      <c r="G15" s="100" t="s">
        <v>1329</v>
      </c>
      <c r="H15" s="114" t="s">
        <v>1393</v>
      </c>
      <c r="I15" s="144">
        <f>10945*0.00336</f>
        <v>36.7752</v>
      </c>
      <c r="J15" s="144">
        <f>7689*0.00336</f>
        <v>25.83504</v>
      </c>
      <c r="K15" s="144">
        <f>8918*0.00336</f>
        <v>29.964480000000002</v>
      </c>
    </row>
    <row r="16" spans="1:11" ht="29.25" customHeight="1" thickBot="1">
      <c r="A16" s="115"/>
      <c r="B16" s="133"/>
      <c r="C16" s="101"/>
      <c r="D16" s="11" t="s">
        <v>268</v>
      </c>
      <c r="E16" s="101"/>
      <c r="F16" s="101"/>
      <c r="G16" s="101"/>
      <c r="H16" s="115"/>
      <c r="I16" s="146"/>
      <c r="J16" s="146"/>
      <c r="K16" s="146"/>
    </row>
    <row r="17" spans="1:11" ht="60" customHeight="1">
      <c r="A17" s="114" t="s">
        <v>1589</v>
      </c>
      <c r="B17" s="14" t="s">
        <v>269</v>
      </c>
      <c r="C17" s="100" t="s">
        <v>1086</v>
      </c>
      <c r="D17" s="10" t="s">
        <v>271</v>
      </c>
      <c r="E17" s="100" t="s">
        <v>9</v>
      </c>
      <c r="F17" s="10" t="s">
        <v>256</v>
      </c>
      <c r="G17" s="10" t="s">
        <v>1306</v>
      </c>
      <c r="H17" s="114" t="s">
        <v>1394</v>
      </c>
      <c r="I17" s="144">
        <f>16722*0.00336</f>
        <v>56.18592</v>
      </c>
      <c r="J17" s="144">
        <f>1914*0.00336</f>
        <v>6.43104</v>
      </c>
      <c r="K17" s="144">
        <f>4983*0.00336</f>
        <v>16.74288</v>
      </c>
    </row>
    <row r="18" spans="1:11" ht="29.25" customHeight="1">
      <c r="A18" s="116"/>
      <c r="B18" s="15" t="s">
        <v>270</v>
      </c>
      <c r="C18" s="109"/>
      <c r="D18" s="16" t="s">
        <v>1333</v>
      </c>
      <c r="E18" s="109"/>
      <c r="F18" s="16" t="s">
        <v>272</v>
      </c>
      <c r="G18" s="16" t="s">
        <v>265</v>
      </c>
      <c r="H18" s="116"/>
      <c r="I18" s="145"/>
      <c r="J18" s="145"/>
      <c r="K18" s="145"/>
    </row>
    <row r="19" spans="1:11" ht="29.25" customHeight="1" thickBot="1">
      <c r="A19" s="115"/>
      <c r="B19" s="17"/>
      <c r="C19" s="101"/>
      <c r="D19" s="11"/>
      <c r="E19" s="101"/>
      <c r="F19" s="11" t="s">
        <v>273</v>
      </c>
      <c r="G19" s="11" t="s">
        <v>259</v>
      </c>
      <c r="H19" s="115"/>
      <c r="I19" s="146"/>
      <c r="J19" s="146"/>
      <c r="K19" s="146"/>
    </row>
    <row r="20" spans="1:11" ht="29.25" customHeight="1">
      <c r="A20" s="114" t="s">
        <v>1590</v>
      </c>
      <c r="B20" s="73" t="s">
        <v>274</v>
      </c>
      <c r="C20" s="130" t="s">
        <v>1085</v>
      </c>
      <c r="D20" s="130" t="s">
        <v>276</v>
      </c>
      <c r="E20" s="130" t="s">
        <v>9</v>
      </c>
      <c r="F20" s="130" t="s">
        <v>30</v>
      </c>
      <c r="G20" s="130" t="s">
        <v>30</v>
      </c>
      <c r="H20" s="148" t="s">
        <v>1395</v>
      </c>
      <c r="I20" s="144">
        <v>0</v>
      </c>
      <c r="J20" s="144">
        <f>30261*0.00336</f>
        <v>101.67696000000001</v>
      </c>
      <c r="K20" s="144">
        <v>0</v>
      </c>
    </row>
    <row r="21" spans="1:11" ht="29.25" customHeight="1" thickBot="1">
      <c r="A21" s="115"/>
      <c r="B21" s="74" t="s">
        <v>275</v>
      </c>
      <c r="C21" s="131"/>
      <c r="D21" s="131"/>
      <c r="E21" s="131"/>
      <c r="F21" s="131"/>
      <c r="G21" s="131"/>
      <c r="H21" s="149"/>
      <c r="I21" s="146"/>
      <c r="J21" s="146"/>
      <c r="K21" s="146"/>
    </row>
    <row r="22" ht="29.25" customHeight="1"/>
  </sheetData>
  <sheetProtection/>
  <mergeCells count="64">
    <mergeCell ref="A20:A21"/>
    <mergeCell ref="A1:B1"/>
    <mergeCell ref="A3:A5"/>
    <mergeCell ref="A6:A7"/>
    <mergeCell ref="A8:A10"/>
    <mergeCell ref="A11:A14"/>
    <mergeCell ref="A15:A16"/>
    <mergeCell ref="A17:A19"/>
    <mergeCell ref="B3:B5"/>
    <mergeCell ref="B6:B7"/>
    <mergeCell ref="C3:C5"/>
    <mergeCell ref="D3:E3"/>
    <mergeCell ref="F3:G3"/>
    <mergeCell ref="E4:E5"/>
    <mergeCell ref="F4:F5"/>
    <mergeCell ref="G4:G5"/>
    <mergeCell ref="C6:C7"/>
    <mergeCell ref="E6:E7"/>
    <mergeCell ref="F6:F7"/>
    <mergeCell ref="G6:G7"/>
    <mergeCell ref="B8:B10"/>
    <mergeCell ref="C8:C10"/>
    <mergeCell ref="E8:E10"/>
    <mergeCell ref="B11:B14"/>
    <mergeCell ref="C11:C14"/>
    <mergeCell ref="E11:E14"/>
    <mergeCell ref="B15:B16"/>
    <mergeCell ref="C15:C16"/>
    <mergeCell ref="E15:E16"/>
    <mergeCell ref="F15:F16"/>
    <mergeCell ref="G15:G16"/>
    <mergeCell ref="C17:C19"/>
    <mergeCell ref="E17:E19"/>
    <mergeCell ref="C20:C21"/>
    <mergeCell ref="D20:D21"/>
    <mergeCell ref="E20:E21"/>
    <mergeCell ref="F20:F21"/>
    <mergeCell ref="G20:G21"/>
    <mergeCell ref="H20:H21"/>
    <mergeCell ref="H3:H5"/>
    <mergeCell ref="H6:H7"/>
    <mergeCell ref="H8:H10"/>
    <mergeCell ref="H11:H14"/>
    <mergeCell ref="H15:H16"/>
    <mergeCell ref="H17:H19"/>
    <mergeCell ref="I3:K4"/>
    <mergeCell ref="I6:I7"/>
    <mergeCell ref="J6:J7"/>
    <mergeCell ref="K6:K7"/>
    <mergeCell ref="K8:K10"/>
    <mergeCell ref="J8:J10"/>
    <mergeCell ref="I8:I10"/>
    <mergeCell ref="I11:I14"/>
    <mergeCell ref="J11:J14"/>
    <mergeCell ref="K11:K14"/>
    <mergeCell ref="K15:K16"/>
    <mergeCell ref="J15:J16"/>
    <mergeCell ref="I15:I16"/>
    <mergeCell ref="I17:I19"/>
    <mergeCell ref="J17:J19"/>
    <mergeCell ref="K17:K19"/>
    <mergeCell ref="K20:K21"/>
    <mergeCell ref="J20:J21"/>
    <mergeCell ref="I20:I2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4"/>
  </sheetPr>
  <dimension ref="A1:K26"/>
  <sheetViews>
    <sheetView zoomScalePageLayoutView="0" workbookViewId="0" topLeftCell="A1">
      <selection activeCell="Q10" sqref="Q10"/>
    </sheetView>
  </sheetViews>
  <sheetFormatPr defaultColWidth="8.8515625" defaultRowHeight="15"/>
  <cols>
    <col min="1" max="1" width="8.8515625" style="35" customWidth="1"/>
    <col min="2" max="2" width="30.28125" style="3" customWidth="1"/>
    <col min="3" max="6" width="8.8515625" style="3" customWidth="1"/>
    <col min="7" max="7" width="9.140625" style="3" bestFit="1" customWidth="1"/>
    <col min="8" max="8" width="12.28125" style="3" bestFit="1" customWidth="1"/>
    <col min="9" max="11" width="15.28125" style="3" customWidth="1"/>
    <col min="12" max="16384" width="8.8515625" style="3" customWidth="1"/>
  </cols>
  <sheetData>
    <row r="1" spans="1:2" ht="15">
      <c r="A1" s="217" t="s">
        <v>277</v>
      </c>
      <c r="B1" s="217"/>
    </row>
    <row r="2" spans="1:2" ht="15">
      <c r="A2" s="217" t="s">
        <v>278</v>
      </c>
      <c r="B2" s="217"/>
    </row>
    <row r="3" ht="15.75" thickBot="1">
      <c r="B3" s="9"/>
    </row>
    <row r="4" spans="1:11" ht="15.75" thickBot="1">
      <c r="A4" s="114" t="s">
        <v>1583</v>
      </c>
      <c r="B4" s="100" t="s">
        <v>1</v>
      </c>
      <c r="C4" s="100" t="s">
        <v>2</v>
      </c>
      <c r="D4" s="110" t="s">
        <v>144</v>
      </c>
      <c r="E4" s="112"/>
      <c r="F4" s="110" t="s">
        <v>79</v>
      </c>
      <c r="G4" s="112"/>
      <c r="H4" s="100" t="s">
        <v>1334</v>
      </c>
      <c r="I4" s="102" t="s">
        <v>1576</v>
      </c>
      <c r="J4" s="102"/>
      <c r="K4" s="102"/>
    </row>
    <row r="5" spans="1:11" ht="45.75" thickBot="1">
      <c r="A5" s="116"/>
      <c r="B5" s="109"/>
      <c r="C5" s="109"/>
      <c r="D5" s="10" t="s">
        <v>3</v>
      </c>
      <c r="E5" s="100" t="s">
        <v>5</v>
      </c>
      <c r="F5" s="100" t="s">
        <v>146</v>
      </c>
      <c r="G5" s="100" t="s">
        <v>84</v>
      </c>
      <c r="H5" s="109"/>
      <c r="I5" s="102"/>
      <c r="J5" s="102"/>
      <c r="K5" s="102"/>
    </row>
    <row r="6" spans="1:11" ht="15.75" thickBot="1">
      <c r="A6" s="115"/>
      <c r="B6" s="101"/>
      <c r="C6" s="101"/>
      <c r="D6" s="11" t="s">
        <v>4</v>
      </c>
      <c r="E6" s="101"/>
      <c r="F6" s="101"/>
      <c r="G6" s="101"/>
      <c r="H6" s="109"/>
      <c r="I6" s="50" t="s">
        <v>1577</v>
      </c>
      <c r="J6" s="50" t="s">
        <v>1578</v>
      </c>
      <c r="K6" s="50" t="s">
        <v>1579</v>
      </c>
    </row>
    <row r="7" spans="1:11" ht="15" customHeight="1">
      <c r="A7" s="114" t="s">
        <v>1584</v>
      </c>
      <c r="B7" s="14" t="s">
        <v>279</v>
      </c>
      <c r="C7" s="100" t="s">
        <v>1085</v>
      </c>
      <c r="D7" s="107">
        <v>2.22</v>
      </c>
      <c r="E7" s="100" t="s">
        <v>9</v>
      </c>
      <c r="F7" s="157" t="s">
        <v>281</v>
      </c>
      <c r="G7" s="158"/>
      <c r="H7" s="114" t="s">
        <v>1396</v>
      </c>
      <c r="I7" s="144">
        <f>7861*0.00336</f>
        <v>26.41296</v>
      </c>
      <c r="J7" s="144">
        <f>495*0.00336</f>
        <v>1.6632</v>
      </c>
      <c r="K7" s="144">
        <f>1368*0.00336</f>
        <v>4.596480000000001</v>
      </c>
    </row>
    <row r="8" spans="1:11" ht="15.75" thickBot="1">
      <c r="A8" s="115"/>
      <c r="B8" s="17" t="s">
        <v>280</v>
      </c>
      <c r="C8" s="101"/>
      <c r="D8" s="108"/>
      <c r="E8" s="101"/>
      <c r="F8" s="159"/>
      <c r="G8" s="160"/>
      <c r="H8" s="115"/>
      <c r="I8" s="146"/>
      <c r="J8" s="146"/>
      <c r="K8" s="146"/>
    </row>
    <row r="9" spans="1:11" ht="15">
      <c r="A9" s="114" t="s">
        <v>1585</v>
      </c>
      <c r="B9" s="14" t="s">
        <v>282</v>
      </c>
      <c r="C9" s="100" t="s">
        <v>1085</v>
      </c>
      <c r="D9" s="100" t="s">
        <v>284</v>
      </c>
      <c r="E9" s="100" t="s">
        <v>9</v>
      </c>
      <c r="F9" s="157" t="s">
        <v>281</v>
      </c>
      <c r="G9" s="158"/>
      <c r="H9" s="114" t="s">
        <v>1397</v>
      </c>
      <c r="I9" s="144">
        <f>47470*0.00336</f>
        <v>159.4992</v>
      </c>
      <c r="J9" s="144">
        <f>18975*0.00336</f>
        <v>63.756</v>
      </c>
      <c r="K9" s="144">
        <f>24*0.00336</f>
        <v>0.08064</v>
      </c>
    </row>
    <row r="10" spans="1:11" ht="15.75" customHeight="1" thickBot="1">
      <c r="A10" s="115"/>
      <c r="B10" s="17" t="s">
        <v>283</v>
      </c>
      <c r="C10" s="101"/>
      <c r="D10" s="101"/>
      <c r="E10" s="101"/>
      <c r="F10" s="159"/>
      <c r="G10" s="160"/>
      <c r="H10" s="115"/>
      <c r="I10" s="146"/>
      <c r="J10" s="146"/>
      <c r="K10" s="146"/>
    </row>
    <row r="11" spans="1:11" ht="18" thickBot="1">
      <c r="A11" s="80" t="s">
        <v>1586</v>
      </c>
      <c r="B11" s="12" t="s">
        <v>285</v>
      </c>
      <c r="C11" s="13" t="s">
        <v>1085</v>
      </c>
      <c r="D11" s="13" t="s">
        <v>286</v>
      </c>
      <c r="E11" s="13" t="s">
        <v>9</v>
      </c>
      <c r="F11" s="154" t="s">
        <v>281</v>
      </c>
      <c r="G11" s="155"/>
      <c r="H11" s="34" t="s">
        <v>1398</v>
      </c>
      <c r="I11" s="94">
        <f>36360*0.00336</f>
        <v>122.1696</v>
      </c>
      <c r="J11" s="94">
        <f>15015*0.00336</f>
        <v>50.4504</v>
      </c>
      <c r="K11" s="94">
        <f>16*0.00336</f>
        <v>0.05376</v>
      </c>
    </row>
    <row r="12" spans="1:11" ht="30">
      <c r="A12" s="114" t="s">
        <v>1587</v>
      </c>
      <c r="B12" s="14" t="s">
        <v>287</v>
      </c>
      <c r="C12" s="100" t="s">
        <v>290</v>
      </c>
      <c r="D12" s="10" t="s">
        <v>291</v>
      </c>
      <c r="E12" s="10" t="s">
        <v>292</v>
      </c>
      <c r="F12" s="105">
        <v>1.04</v>
      </c>
      <c r="G12" s="100" t="s">
        <v>293</v>
      </c>
      <c r="H12" s="114" t="s">
        <v>1399</v>
      </c>
      <c r="I12" s="144">
        <f>346000*0.75*0.00336</f>
        <v>871.9200000000001</v>
      </c>
      <c r="J12" s="144">
        <f>346000*0.25*0.00336</f>
        <v>290.64</v>
      </c>
      <c r="K12" s="144">
        <f>0*0.00336</f>
        <v>0</v>
      </c>
    </row>
    <row r="13" spans="1:11" ht="15">
      <c r="A13" s="116"/>
      <c r="B13" s="15" t="s">
        <v>288</v>
      </c>
      <c r="C13" s="109"/>
      <c r="D13" s="30">
        <v>4.8</v>
      </c>
      <c r="E13" s="16" t="s">
        <v>9</v>
      </c>
      <c r="F13" s="156"/>
      <c r="G13" s="109"/>
      <c r="H13" s="116"/>
      <c r="I13" s="145"/>
      <c r="J13" s="145"/>
      <c r="K13" s="145"/>
    </row>
    <row r="14" spans="1:11" ht="15.75" thickBot="1">
      <c r="A14" s="115"/>
      <c r="B14" s="17" t="s">
        <v>289</v>
      </c>
      <c r="C14" s="101"/>
      <c r="D14" s="11"/>
      <c r="E14" s="11"/>
      <c r="F14" s="106"/>
      <c r="G14" s="101"/>
      <c r="H14" s="115"/>
      <c r="I14" s="146"/>
      <c r="J14" s="146"/>
      <c r="K14" s="146"/>
    </row>
    <row r="15" spans="1:11" ht="39.75" customHeight="1">
      <c r="A15" s="114" t="s">
        <v>1589</v>
      </c>
      <c r="B15" s="128" t="s">
        <v>294</v>
      </c>
      <c r="C15" s="130" t="s">
        <v>290</v>
      </c>
      <c r="D15" s="75" t="s">
        <v>295</v>
      </c>
      <c r="E15" s="75" t="s">
        <v>292</v>
      </c>
      <c r="F15" s="107">
        <v>1.04</v>
      </c>
      <c r="G15" s="130" t="s">
        <v>293</v>
      </c>
      <c r="H15" s="148" t="s">
        <v>1400</v>
      </c>
      <c r="I15" s="144">
        <f>212100*0.00336</f>
        <v>712.6560000000001</v>
      </c>
      <c r="J15" s="144">
        <f>136290*0.00336</f>
        <v>457.93440000000004</v>
      </c>
      <c r="K15" s="144">
        <f>4188*0.00336</f>
        <v>14.07168</v>
      </c>
    </row>
    <row r="16" spans="1:11" ht="15.75" thickBot="1">
      <c r="A16" s="115"/>
      <c r="B16" s="129"/>
      <c r="C16" s="131"/>
      <c r="D16" s="31">
        <v>7.6</v>
      </c>
      <c r="E16" s="76" t="s">
        <v>9</v>
      </c>
      <c r="F16" s="108"/>
      <c r="G16" s="131"/>
      <c r="H16" s="149"/>
      <c r="I16" s="146"/>
      <c r="J16" s="146"/>
      <c r="K16" s="146"/>
    </row>
    <row r="17" spans="1:11" ht="30">
      <c r="A17" s="114" t="s">
        <v>1590</v>
      </c>
      <c r="B17" s="14" t="s">
        <v>296</v>
      </c>
      <c r="C17" s="100" t="s">
        <v>1638</v>
      </c>
      <c r="D17" s="10" t="s">
        <v>299</v>
      </c>
      <c r="E17" s="10" t="s">
        <v>292</v>
      </c>
      <c r="F17" s="107">
        <v>1.04</v>
      </c>
      <c r="G17" s="100" t="s">
        <v>293</v>
      </c>
      <c r="H17" s="114" t="s">
        <v>1401</v>
      </c>
      <c r="I17" s="144">
        <f>205685*0.00336</f>
        <v>691.1016000000001</v>
      </c>
      <c r="J17" s="144">
        <f>402600*0.00336</f>
        <v>1352.736</v>
      </c>
      <c r="K17" s="144">
        <f>3770*0.00336</f>
        <v>12.667200000000001</v>
      </c>
    </row>
    <row r="18" spans="1:11" ht="15">
      <c r="A18" s="116"/>
      <c r="B18" s="15" t="s">
        <v>297</v>
      </c>
      <c r="C18" s="109"/>
      <c r="D18" s="32">
        <v>12.8</v>
      </c>
      <c r="E18" s="16" t="s">
        <v>9</v>
      </c>
      <c r="F18" s="143"/>
      <c r="G18" s="109"/>
      <c r="H18" s="116"/>
      <c r="I18" s="145"/>
      <c r="J18" s="145"/>
      <c r="K18" s="145"/>
    </row>
    <row r="19" spans="1:11" ht="30.75" thickBot="1">
      <c r="A19" s="115"/>
      <c r="B19" s="17" t="s">
        <v>298</v>
      </c>
      <c r="C19" s="101"/>
      <c r="D19" s="11"/>
      <c r="E19" s="11"/>
      <c r="F19" s="108"/>
      <c r="G19" s="101"/>
      <c r="H19" s="115"/>
      <c r="I19" s="146"/>
      <c r="J19" s="146"/>
      <c r="K19" s="146"/>
    </row>
    <row r="20" spans="1:11" ht="45">
      <c r="A20" s="114" t="s">
        <v>1591</v>
      </c>
      <c r="B20" s="14" t="s">
        <v>300</v>
      </c>
      <c r="C20" s="100" t="s">
        <v>290</v>
      </c>
      <c r="D20" s="10" t="s">
        <v>302</v>
      </c>
      <c r="E20" s="10" t="s">
        <v>292</v>
      </c>
      <c r="F20" s="105">
        <v>1.04</v>
      </c>
      <c r="G20" s="10" t="s">
        <v>303</v>
      </c>
      <c r="H20" s="114" t="s">
        <v>1402</v>
      </c>
      <c r="I20" s="144">
        <f>11660*0.75*0.00336</f>
        <v>29.383200000000002</v>
      </c>
      <c r="J20" s="144">
        <f>11660*0.25*0.00336</f>
        <v>9.7944</v>
      </c>
      <c r="K20" s="144">
        <v>0</v>
      </c>
    </row>
    <row r="21" spans="1:11" ht="30.75" thickBot="1">
      <c r="A21" s="115"/>
      <c r="B21" s="17" t="s">
        <v>301</v>
      </c>
      <c r="C21" s="101"/>
      <c r="D21" s="31">
        <v>4.1</v>
      </c>
      <c r="E21" s="11" t="s">
        <v>9</v>
      </c>
      <c r="F21" s="106"/>
      <c r="G21" s="11" t="s">
        <v>259</v>
      </c>
      <c r="H21" s="115"/>
      <c r="I21" s="146"/>
      <c r="J21" s="146"/>
      <c r="K21" s="146"/>
    </row>
    <row r="22" spans="1:11" ht="30">
      <c r="A22" s="114" t="s">
        <v>1592</v>
      </c>
      <c r="B22" s="14" t="s">
        <v>304</v>
      </c>
      <c r="C22" s="100" t="s">
        <v>157</v>
      </c>
      <c r="D22" s="100" t="s">
        <v>122</v>
      </c>
      <c r="E22" s="100" t="s">
        <v>9</v>
      </c>
      <c r="F22" s="100" t="s">
        <v>306</v>
      </c>
      <c r="G22" s="100" t="s">
        <v>307</v>
      </c>
      <c r="H22" s="114" t="s">
        <v>1403</v>
      </c>
      <c r="I22" s="144">
        <v>0</v>
      </c>
      <c r="J22" s="144">
        <f>1584*0.00336</f>
        <v>5.32224</v>
      </c>
      <c r="K22" s="144">
        <f>954*0.00336</f>
        <v>3.2054400000000003</v>
      </c>
    </row>
    <row r="23" spans="1:11" ht="15.75" thickBot="1">
      <c r="A23" s="115"/>
      <c r="B23" s="17" t="s">
        <v>305</v>
      </c>
      <c r="C23" s="101"/>
      <c r="D23" s="101"/>
      <c r="E23" s="101"/>
      <c r="F23" s="101"/>
      <c r="G23" s="101"/>
      <c r="H23" s="115"/>
      <c r="I23" s="146"/>
      <c r="J23" s="146"/>
      <c r="K23" s="146"/>
    </row>
    <row r="24" spans="1:11" ht="45">
      <c r="A24" s="114" t="s">
        <v>1593</v>
      </c>
      <c r="B24" s="14" t="s">
        <v>308</v>
      </c>
      <c r="C24" s="100" t="s">
        <v>157</v>
      </c>
      <c r="D24" s="100" t="s">
        <v>309</v>
      </c>
      <c r="E24" s="100" t="s">
        <v>9</v>
      </c>
      <c r="F24" s="10" t="s">
        <v>310</v>
      </c>
      <c r="G24" s="10" t="s">
        <v>312</v>
      </c>
      <c r="H24" s="114" t="s">
        <v>1404</v>
      </c>
      <c r="I24" s="144">
        <f>530*0.00336</f>
        <v>1.7808000000000002</v>
      </c>
      <c r="J24" s="144">
        <f>165*0.00336</f>
        <v>0.5544</v>
      </c>
      <c r="K24" s="144">
        <v>0</v>
      </c>
    </row>
    <row r="25" spans="1:11" ht="15">
      <c r="A25" s="116"/>
      <c r="B25" s="15" t="s">
        <v>305</v>
      </c>
      <c r="C25" s="109"/>
      <c r="D25" s="109"/>
      <c r="E25" s="109"/>
      <c r="F25" s="16" t="s">
        <v>311</v>
      </c>
      <c r="G25" s="16" t="s">
        <v>313</v>
      </c>
      <c r="H25" s="116"/>
      <c r="I25" s="145"/>
      <c r="J25" s="145"/>
      <c r="K25" s="145"/>
    </row>
    <row r="26" spans="1:11" ht="45.75" thickBot="1">
      <c r="A26" s="115"/>
      <c r="B26" s="17"/>
      <c r="C26" s="101"/>
      <c r="D26" s="101"/>
      <c r="E26" s="101"/>
      <c r="F26" s="11" t="s">
        <v>1330</v>
      </c>
      <c r="G26" s="11" t="s">
        <v>314</v>
      </c>
      <c r="H26" s="115"/>
      <c r="I26" s="146"/>
      <c r="J26" s="146"/>
      <c r="K26" s="146"/>
    </row>
  </sheetData>
  <sheetProtection/>
  <mergeCells count="81">
    <mergeCell ref="A1:B1"/>
    <mergeCell ref="A2:B2"/>
    <mergeCell ref="A20:A21"/>
    <mergeCell ref="A22:A23"/>
    <mergeCell ref="A24:A26"/>
    <mergeCell ref="A4:A6"/>
    <mergeCell ref="A7:A8"/>
    <mergeCell ref="A9:A10"/>
    <mergeCell ref="A12:A14"/>
    <mergeCell ref="A15:A16"/>
    <mergeCell ref="A17:A19"/>
    <mergeCell ref="E9:E10"/>
    <mergeCell ref="F9:G10"/>
    <mergeCell ref="B4:B6"/>
    <mergeCell ref="C4:C6"/>
    <mergeCell ref="D4:E4"/>
    <mergeCell ref="F4:G4"/>
    <mergeCell ref="E5:E6"/>
    <mergeCell ref="F5:F6"/>
    <mergeCell ref="G5:G6"/>
    <mergeCell ref="B15:B16"/>
    <mergeCell ref="C15:C16"/>
    <mergeCell ref="F15:F16"/>
    <mergeCell ref="G15:G16"/>
    <mergeCell ref="C7:C8"/>
    <mergeCell ref="D7:D8"/>
    <mergeCell ref="E7:E8"/>
    <mergeCell ref="F7:G8"/>
    <mergeCell ref="C9:C10"/>
    <mergeCell ref="D9:D10"/>
    <mergeCell ref="E22:E23"/>
    <mergeCell ref="F22:F23"/>
    <mergeCell ref="G22:G23"/>
    <mergeCell ref="F11:G11"/>
    <mergeCell ref="C12:C14"/>
    <mergeCell ref="F12:F14"/>
    <mergeCell ref="G12:G14"/>
    <mergeCell ref="C24:C26"/>
    <mergeCell ref="D24:D26"/>
    <mergeCell ref="E24:E26"/>
    <mergeCell ref="C17:C19"/>
    <mergeCell ref="F17:F19"/>
    <mergeCell ref="G17:G19"/>
    <mergeCell ref="C20:C21"/>
    <mergeCell ref="F20:F21"/>
    <mergeCell ref="C22:C23"/>
    <mergeCell ref="D22:D23"/>
    <mergeCell ref="H20:H21"/>
    <mergeCell ref="H22:H23"/>
    <mergeCell ref="H24:H26"/>
    <mergeCell ref="H4:H6"/>
    <mergeCell ref="H7:H8"/>
    <mergeCell ref="H9:H10"/>
    <mergeCell ref="H12:H14"/>
    <mergeCell ref="H15:H16"/>
    <mergeCell ref="H17:H19"/>
    <mergeCell ref="I4:K5"/>
    <mergeCell ref="I7:I8"/>
    <mergeCell ref="J7:J8"/>
    <mergeCell ref="K7:K8"/>
    <mergeCell ref="K9:K10"/>
    <mergeCell ref="J9:J10"/>
    <mergeCell ref="I9:I10"/>
    <mergeCell ref="I12:I14"/>
    <mergeCell ref="J12:J14"/>
    <mergeCell ref="K12:K14"/>
    <mergeCell ref="K15:K16"/>
    <mergeCell ref="J15:J16"/>
    <mergeCell ref="I15:I16"/>
    <mergeCell ref="I17:I19"/>
    <mergeCell ref="J17:J19"/>
    <mergeCell ref="K17:K19"/>
    <mergeCell ref="I20:I21"/>
    <mergeCell ref="J20:J21"/>
    <mergeCell ref="K20:K21"/>
    <mergeCell ref="K22:K23"/>
    <mergeCell ref="J22:J23"/>
    <mergeCell ref="I22:I23"/>
    <mergeCell ref="I24:I26"/>
    <mergeCell ref="J24:J26"/>
    <mergeCell ref="K24:K2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Szabi</dc:creator>
  <cp:keywords/>
  <dc:description/>
  <cp:lastModifiedBy>Windows-felhasználó</cp:lastModifiedBy>
  <dcterms:created xsi:type="dcterms:W3CDTF">2019-04-09T20:29:49Z</dcterms:created>
  <dcterms:modified xsi:type="dcterms:W3CDTF">2020-03-09T20:37:38Z</dcterms:modified>
  <cp:category/>
  <cp:version/>
  <cp:contentType/>
  <cp:contentStatus/>
</cp:coreProperties>
</file>