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mbeddings/oleObject1.bin" ContentType="application/vnd.openxmlformats-officedocument.oleObject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.xml" ContentType="application/vnd.openxmlformats-officedocument.drawing+xml"/>
  <Override PartName="/xl/charts/chart1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+xml"/>
  <Override PartName="/xl/embeddings/oleObject2.bin" ContentType="application/vnd.openxmlformats-officedocument.oleObject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2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2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2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9.xml" ContentType="application/vnd.openxmlformats-officedocument.drawing+xml"/>
  <Override PartName="/xl/charts/chart2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2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0.xml" ContentType="application/vnd.openxmlformats-officedocument.drawing+xml"/>
  <Override PartName="/xl/charts/chart2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1.xml" ContentType="application/vnd.openxmlformats-officedocument.drawing+xml"/>
  <Override PartName="/xl/charts/chart2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2.xml" ContentType="application/vnd.openxmlformats-officedocument.drawing+xml"/>
  <Override PartName="/xl/charts/chart2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3.xml" ContentType="application/vnd.openxmlformats-officedocument.drawing+xml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O:\Tanszeki_anyagok\Gepeszmernok_Tanszek\Dr_Orban_Ferenc\Elektronikus_oktatasi_anyagok\"/>
    </mc:Choice>
  </mc:AlternateContent>
  <bookViews>
    <workbookView xWindow="240" yWindow="60" windowWidth="7290" windowHeight="4980"/>
  </bookViews>
  <sheets>
    <sheet name="nyitólap" sheetId="6" r:id="rId1"/>
    <sheet name="D -től függő speciális esetek" sheetId="1" r:id="rId2"/>
    <sheet name="Elmélet" sheetId="7" r:id="rId3"/>
    <sheet name="Lagrange egyenlet" sheetId="15" r:id="rId4"/>
    <sheet name="csillapitatlan szabad lengés" sheetId="5" r:id="rId5"/>
    <sheet name="Csillapitott szabad rezgés" sheetId="2" r:id="rId6"/>
    <sheet name="Súrlódással csillapított rezgés" sheetId="9" r:id="rId7"/>
    <sheet name="csillapitott gerjesztett rezgés" sheetId="3" r:id="rId8"/>
    <sheet name="Különböző gerjesztési típusok" sheetId="8" r:id="rId9"/>
    <sheet name="rezonancia" sheetId="4" r:id="rId10"/>
    <sheet name="Többszabadságú lengőrendszerek " sheetId="13" r:id="rId11"/>
    <sheet name="M, S, K előállítása" sheetId="24" r:id="rId12"/>
    <sheet name="Csillapított függvények előáll." sheetId="16" r:id="rId13"/>
    <sheet name="Modal analizis lépései" sheetId="11" r:id="rId14"/>
    <sheet name="Modal analizis mintapélda" sheetId="12" r:id="rId15"/>
    <sheet name="Segéd_modál_1" sheetId="17" r:id="rId16"/>
    <sheet name="Segéd Modál_2" sheetId="18" r:id="rId17"/>
    <sheet name="Segéd Modál_3" sheetId="19" r:id="rId18"/>
    <sheet name="két függvény összegzése" sheetId="10" r:id="rId19"/>
    <sheet name="két függvény_2" sheetId="20" r:id="rId20"/>
    <sheet name="Láncszerű lengőrendszerek" sheetId="21" r:id="rId21"/>
    <sheet name="Kötött láncszerű" sheetId="22" r:id="rId22"/>
    <sheet name="mindkét végén kötött láncszerű " sheetId="23" r:id="rId23"/>
    <sheet name="Kontinuum rezgések" sheetId="14" r:id="rId24"/>
  </sheets>
  <calcPr calcId="162913"/>
</workbook>
</file>

<file path=xl/calcChain.xml><?xml version="1.0" encoding="utf-8"?>
<calcChain xmlns="http://schemas.openxmlformats.org/spreadsheetml/2006/main">
  <c r="A36" i="17" l="1"/>
  <c r="A34" i="17"/>
  <c r="W4" i="21" l="1"/>
  <c r="Y4" i="22"/>
  <c r="Z8" i="23"/>
  <c r="M2" i="2"/>
  <c r="V18" i="7" l="1"/>
  <c r="T18" i="7"/>
  <c r="R5" i="24" l="1"/>
  <c r="R21" i="24" l="1"/>
  <c r="Q21" i="24"/>
  <c r="O21" i="24"/>
  <c r="N21" i="24"/>
  <c r="L21" i="24"/>
  <c r="R20" i="24"/>
  <c r="Q20" i="24"/>
  <c r="O20" i="24"/>
  <c r="N20" i="24"/>
  <c r="K20" i="24"/>
  <c r="P5" i="10" l="1"/>
  <c r="D6" i="16"/>
  <c r="D7" i="16"/>
  <c r="D8" i="16"/>
  <c r="D9" i="16"/>
  <c r="D10" i="16"/>
  <c r="D11" i="16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36" i="16"/>
  <c r="D37" i="16"/>
  <c r="D38" i="16"/>
  <c r="D39" i="16"/>
  <c r="D40" i="16"/>
  <c r="D41" i="16"/>
  <c r="D42" i="16"/>
  <c r="D43" i="16"/>
  <c r="D44" i="16"/>
  <c r="D45" i="16"/>
  <c r="D46" i="16"/>
  <c r="D47" i="16"/>
  <c r="D48" i="16"/>
  <c r="D49" i="16"/>
  <c r="D50" i="16"/>
  <c r="D51" i="16"/>
  <c r="D52" i="16"/>
  <c r="D53" i="16"/>
  <c r="D54" i="16"/>
  <c r="D55" i="16"/>
  <c r="D56" i="16"/>
  <c r="D57" i="16"/>
  <c r="D58" i="16"/>
  <c r="D59" i="16"/>
  <c r="D60" i="16"/>
  <c r="D61" i="16"/>
  <c r="D62" i="16"/>
  <c r="D63" i="16"/>
  <c r="D64" i="16"/>
  <c r="D65" i="16"/>
  <c r="D66" i="16"/>
  <c r="D67" i="16"/>
  <c r="D68" i="16"/>
  <c r="D69" i="16"/>
  <c r="D70" i="16"/>
  <c r="D71" i="16"/>
  <c r="D72" i="16"/>
  <c r="D73" i="16"/>
  <c r="D74" i="16"/>
  <c r="D75" i="16"/>
  <c r="D76" i="16"/>
  <c r="D77" i="16"/>
  <c r="D78" i="16"/>
  <c r="D79" i="16"/>
  <c r="D80" i="16"/>
  <c r="D81" i="16"/>
  <c r="D82" i="16"/>
  <c r="D83" i="16"/>
  <c r="D84" i="16"/>
  <c r="D85" i="16"/>
  <c r="D86" i="16"/>
  <c r="D87" i="16"/>
  <c r="D88" i="16"/>
  <c r="D89" i="16"/>
  <c r="D90" i="16"/>
  <c r="D91" i="16"/>
  <c r="D92" i="16"/>
  <c r="D93" i="16"/>
  <c r="D94" i="16"/>
  <c r="D95" i="16"/>
  <c r="D96" i="16"/>
  <c r="D97" i="16"/>
  <c r="D98" i="16"/>
  <c r="D99" i="16"/>
  <c r="D100" i="16"/>
  <c r="D101" i="16"/>
  <c r="D102" i="16"/>
  <c r="D103" i="16"/>
  <c r="D104" i="16"/>
  <c r="D105" i="16"/>
  <c r="D106" i="16"/>
  <c r="D107" i="16"/>
  <c r="D108" i="16"/>
  <c r="D109" i="16"/>
  <c r="D110" i="16"/>
  <c r="D111" i="16"/>
  <c r="D112" i="16"/>
  <c r="D113" i="16"/>
  <c r="D114" i="16"/>
  <c r="D115" i="16"/>
  <c r="D116" i="16"/>
  <c r="D117" i="16"/>
  <c r="D118" i="16"/>
  <c r="D119" i="16"/>
  <c r="D120" i="16"/>
  <c r="D121" i="16"/>
  <c r="D122" i="16"/>
  <c r="D123" i="16"/>
  <c r="D124" i="16"/>
  <c r="D125" i="16"/>
  <c r="D126" i="16"/>
  <c r="D127" i="16"/>
  <c r="D128" i="16"/>
  <c r="D129" i="16"/>
  <c r="D130" i="16"/>
  <c r="D131" i="16"/>
  <c r="D132" i="16"/>
  <c r="D133" i="16"/>
  <c r="D134" i="16"/>
  <c r="D135" i="16"/>
  <c r="D136" i="16"/>
  <c r="D137" i="16"/>
  <c r="D138" i="16"/>
  <c r="D139" i="16"/>
  <c r="D140" i="16"/>
  <c r="D141" i="16"/>
  <c r="D142" i="16"/>
  <c r="D143" i="16"/>
  <c r="D144" i="16"/>
  <c r="D145" i="16"/>
  <c r="D146" i="16"/>
  <c r="D147" i="16"/>
  <c r="D148" i="16"/>
  <c r="D149" i="16"/>
  <c r="D150" i="16"/>
  <c r="D151" i="16"/>
  <c r="D152" i="16"/>
  <c r="D153" i="16"/>
  <c r="D154" i="16"/>
  <c r="D155" i="16"/>
  <c r="D156" i="16"/>
  <c r="D157" i="16"/>
  <c r="D158" i="16"/>
  <c r="D159" i="16"/>
  <c r="D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5" i="16"/>
  <c r="R5" i="9" l="1"/>
  <c r="AP78" i="8" l="1"/>
  <c r="J23" i="23" l="1"/>
  <c r="Q30" i="23" l="1"/>
  <c r="H28" i="23"/>
  <c r="G28" i="23"/>
  <c r="F28" i="23"/>
  <c r="K24" i="23"/>
  <c r="J24" i="23"/>
  <c r="R14" i="23" s="1"/>
  <c r="H24" i="23"/>
  <c r="K23" i="23"/>
  <c r="S13" i="23" s="1"/>
  <c r="N31" i="23" s="1"/>
  <c r="G23" i="23"/>
  <c r="P13" i="23" l="1"/>
  <c r="M31" i="23" s="1"/>
  <c r="O14" i="23"/>
  <c r="D28" i="23"/>
  <c r="I28" i="23" s="1"/>
  <c r="O13" i="23"/>
  <c r="AP35" i="8"/>
  <c r="J28" i="23" l="1"/>
  <c r="P14" i="23"/>
  <c r="M30" i="23" s="1"/>
  <c r="P31" i="23" s="1"/>
  <c r="K28" i="23"/>
  <c r="H29" i="19"/>
  <c r="H27" i="19"/>
  <c r="L28" i="23" l="1"/>
  <c r="S14" i="23"/>
  <c r="N30" i="23" s="1"/>
  <c r="Q31" i="23" s="1"/>
  <c r="R13" i="23"/>
  <c r="AW5" i="2"/>
  <c r="AV5" i="2"/>
  <c r="AU5" i="2"/>
  <c r="AT5" i="2"/>
  <c r="AS5" i="2"/>
  <c r="AR5" i="2"/>
  <c r="J13" i="18" l="1"/>
  <c r="I13" i="18" l="1"/>
  <c r="J12" i="18"/>
  <c r="I12" i="18"/>
  <c r="O14" i="22" l="1"/>
  <c r="L16" i="21"/>
  <c r="O15" i="22"/>
  <c r="T13" i="21" l="1"/>
  <c r="V11" i="21"/>
  <c r="P13" i="21"/>
  <c r="R11" i="21"/>
  <c r="S14" i="22" l="1"/>
  <c r="H13" i="22"/>
  <c r="G13" i="22"/>
  <c r="O9" i="22"/>
  <c r="N9" i="22"/>
  <c r="R9" i="22" s="1"/>
  <c r="U9" i="22" s="1"/>
  <c r="P15" i="22" s="1"/>
  <c r="L9" i="22"/>
  <c r="O8" i="22"/>
  <c r="S8" i="22" s="1"/>
  <c r="V8" i="22" s="1"/>
  <c r="N8" i="22"/>
  <c r="K8" i="22"/>
  <c r="E17" i="21"/>
  <c r="D17" i="21"/>
  <c r="C17" i="21"/>
  <c r="P16" i="21"/>
  <c r="O16" i="21"/>
  <c r="N13" i="21"/>
  <c r="M13" i="21"/>
  <c r="Q13" i="21" s="1"/>
  <c r="U13" i="21" s="1"/>
  <c r="J13" i="21"/>
  <c r="N12" i="21"/>
  <c r="R12" i="21" s="1"/>
  <c r="V12" i="21" s="1"/>
  <c r="M12" i="21"/>
  <c r="I12" i="21"/>
  <c r="M11" i="21"/>
  <c r="Q11" i="21" s="1"/>
  <c r="U11" i="21" s="1"/>
  <c r="L11" i="21"/>
  <c r="H11" i="21"/>
  <c r="L12" i="21" l="1"/>
  <c r="E13" i="22"/>
  <c r="J13" i="22" s="1"/>
  <c r="A17" i="21"/>
  <c r="H17" i="21" s="1"/>
  <c r="C11" i="20"/>
  <c r="C12" i="20"/>
  <c r="C13" i="20"/>
  <c r="C14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C104" i="20"/>
  <c r="C105" i="20"/>
  <c r="C106" i="20"/>
  <c r="C107" i="20"/>
  <c r="C108" i="20"/>
  <c r="C109" i="20"/>
  <c r="C110" i="20"/>
  <c r="C111" i="20"/>
  <c r="C112" i="20"/>
  <c r="C113" i="20"/>
  <c r="C114" i="20"/>
  <c r="C115" i="20"/>
  <c r="C116" i="20"/>
  <c r="C117" i="20"/>
  <c r="C118" i="20"/>
  <c r="C119" i="20"/>
  <c r="C120" i="20"/>
  <c r="C121" i="20"/>
  <c r="C122" i="20"/>
  <c r="C123" i="20"/>
  <c r="C124" i="20"/>
  <c r="C125" i="20"/>
  <c r="C126" i="20"/>
  <c r="C127" i="20"/>
  <c r="C128" i="20"/>
  <c r="C129" i="20"/>
  <c r="C130" i="20"/>
  <c r="C131" i="20"/>
  <c r="C132" i="20"/>
  <c r="C133" i="20"/>
  <c r="C134" i="20"/>
  <c r="C135" i="20"/>
  <c r="C136" i="20"/>
  <c r="C137" i="20"/>
  <c r="C138" i="20"/>
  <c r="C139" i="20"/>
  <c r="C140" i="20"/>
  <c r="C141" i="20"/>
  <c r="C142" i="20"/>
  <c r="C143" i="20"/>
  <c r="C144" i="20"/>
  <c r="C145" i="20"/>
  <c r="C146" i="20"/>
  <c r="C147" i="20"/>
  <c r="C148" i="20"/>
  <c r="C149" i="20"/>
  <c r="C150" i="20"/>
  <c r="C151" i="20"/>
  <c r="C152" i="20"/>
  <c r="C153" i="20"/>
  <c r="C154" i="20"/>
  <c r="C155" i="20"/>
  <c r="C156" i="20"/>
  <c r="C157" i="20"/>
  <c r="C158" i="20"/>
  <c r="C159" i="20"/>
  <c r="C160" i="20"/>
  <c r="C161" i="20"/>
  <c r="C162" i="20"/>
  <c r="C163" i="20"/>
  <c r="C164" i="20"/>
  <c r="C165" i="20"/>
  <c r="C166" i="20"/>
  <c r="C167" i="20"/>
  <c r="C168" i="20"/>
  <c r="C169" i="20"/>
  <c r="C170" i="20"/>
  <c r="C171" i="20"/>
  <c r="C172" i="20"/>
  <c r="C173" i="20"/>
  <c r="C174" i="20"/>
  <c r="C175" i="20"/>
  <c r="C176" i="20"/>
  <c r="C177" i="20"/>
  <c r="C178" i="20"/>
  <c r="C179" i="20"/>
  <c r="C180" i="20"/>
  <c r="C181" i="20"/>
  <c r="C182" i="20"/>
  <c r="C183" i="20"/>
  <c r="C184" i="20"/>
  <c r="C185" i="20"/>
  <c r="C186" i="20"/>
  <c r="C187" i="20"/>
  <c r="C188" i="20"/>
  <c r="C189" i="20"/>
  <c r="C190" i="20"/>
  <c r="C191" i="20"/>
  <c r="C192" i="20"/>
  <c r="C193" i="20"/>
  <c r="C194" i="20"/>
  <c r="C195" i="20"/>
  <c r="C196" i="20"/>
  <c r="C197" i="20"/>
  <c r="C198" i="20"/>
  <c r="C199" i="20"/>
  <c r="C200" i="20"/>
  <c r="C201" i="20"/>
  <c r="C202" i="20"/>
  <c r="C203" i="20"/>
  <c r="C204" i="20"/>
  <c r="C205" i="20"/>
  <c r="C206" i="20"/>
  <c r="C207" i="20"/>
  <c r="C208" i="20"/>
  <c r="C209" i="20"/>
  <c r="C210" i="20"/>
  <c r="C211" i="20"/>
  <c r="C212" i="20"/>
  <c r="C213" i="20"/>
  <c r="C214" i="20"/>
  <c r="C215" i="20"/>
  <c r="C216" i="20"/>
  <c r="C217" i="20"/>
  <c r="C218" i="20"/>
  <c r="C219" i="20"/>
  <c r="C220" i="20"/>
  <c r="C221" i="20"/>
  <c r="C222" i="20"/>
  <c r="C223" i="20"/>
  <c r="C224" i="20"/>
  <c r="C225" i="20"/>
  <c r="C226" i="20"/>
  <c r="C227" i="20"/>
  <c r="C228" i="20"/>
  <c r="C229" i="20"/>
  <c r="C230" i="20"/>
  <c r="C231" i="20"/>
  <c r="C232" i="20"/>
  <c r="C233" i="20"/>
  <c r="C234" i="20"/>
  <c r="C235" i="20"/>
  <c r="C236" i="20"/>
  <c r="C237" i="20"/>
  <c r="C238" i="20"/>
  <c r="C239" i="20"/>
  <c r="C240" i="20"/>
  <c r="C241" i="20"/>
  <c r="C242" i="20"/>
  <c r="C10" i="20"/>
  <c r="E11" i="20"/>
  <c r="E12" i="20"/>
  <c r="E13" i="20"/>
  <c r="E14" i="20"/>
  <c r="E15" i="20"/>
  <c r="E16" i="20"/>
  <c r="E17" i="20"/>
  <c r="E18" i="20"/>
  <c r="E19" i="20"/>
  <c r="E20" i="20"/>
  <c r="E21" i="20"/>
  <c r="E22" i="20"/>
  <c r="E23" i="20"/>
  <c r="E24" i="20"/>
  <c r="E25" i="20"/>
  <c r="E26" i="20"/>
  <c r="E27" i="20"/>
  <c r="E28" i="20"/>
  <c r="E29" i="20"/>
  <c r="E30" i="20"/>
  <c r="E31" i="20"/>
  <c r="E32" i="20"/>
  <c r="E33" i="20"/>
  <c r="E34" i="20"/>
  <c r="E35" i="20"/>
  <c r="E36" i="20"/>
  <c r="E37" i="20"/>
  <c r="E38" i="20"/>
  <c r="E39" i="20"/>
  <c r="E40" i="20"/>
  <c r="E41" i="20"/>
  <c r="E42" i="20"/>
  <c r="E43" i="20"/>
  <c r="E44" i="20"/>
  <c r="E45" i="20"/>
  <c r="E46" i="20"/>
  <c r="E47" i="20"/>
  <c r="E48" i="20"/>
  <c r="E49" i="20"/>
  <c r="E50" i="20"/>
  <c r="E51" i="20"/>
  <c r="E52" i="20"/>
  <c r="E53" i="20"/>
  <c r="E54" i="20"/>
  <c r="E55" i="20"/>
  <c r="E56" i="20"/>
  <c r="E57" i="20"/>
  <c r="E58" i="20"/>
  <c r="E59" i="20"/>
  <c r="E60" i="20"/>
  <c r="E61" i="20"/>
  <c r="E62" i="20"/>
  <c r="E63" i="20"/>
  <c r="E64" i="20"/>
  <c r="E65" i="20"/>
  <c r="E66" i="20"/>
  <c r="E67" i="20"/>
  <c r="E68" i="20"/>
  <c r="E69" i="20"/>
  <c r="E70" i="20"/>
  <c r="E71" i="20"/>
  <c r="E72" i="20"/>
  <c r="E73" i="20"/>
  <c r="E74" i="20"/>
  <c r="E75" i="20"/>
  <c r="E76" i="20"/>
  <c r="E77" i="20"/>
  <c r="E78" i="20"/>
  <c r="E79" i="20"/>
  <c r="E80" i="20"/>
  <c r="E81" i="20"/>
  <c r="E82" i="20"/>
  <c r="E83" i="20"/>
  <c r="E84" i="20"/>
  <c r="E85" i="20"/>
  <c r="E86" i="20"/>
  <c r="E87" i="20"/>
  <c r="E88" i="20"/>
  <c r="E89" i="20"/>
  <c r="E90" i="20"/>
  <c r="E91" i="20"/>
  <c r="E92" i="20"/>
  <c r="E93" i="20"/>
  <c r="E94" i="20"/>
  <c r="E95" i="20"/>
  <c r="E96" i="20"/>
  <c r="E97" i="20"/>
  <c r="E98" i="20"/>
  <c r="E99" i="20"/>
  <c r="E100" i="20"/>
  <c r="E101" i="20"/>
  <c r="E102" i="20"/>
  <c r="E103" i="20"/>
  <c r="E104" i="20"/>
  <c r="E105" i="20"/>
  <c r="E106" i="20"/>
  <c r="E107" i="20"/>
  <c r="E108" i="20"/>
  <c r="E109" i="20"/>
  <c r="E110" i="20"/>
  <c r="E111" i="20"/>
  <c r="E112" i="20"/>
  <c r="E113" i="20"/>
  <c r="E114" i="20"/>
  <c r="E115" i="20"/>
  <c r="E116" i="20"/>
  <c r="E117" i="20"/>
  <c r="E118" i="20"/>
  <c r="E119" i="20"/>
  <c r="E120" i="20"/>
  <c r="E121" i="20"/>
  <c r="E122" i="20"/>
  <c r="E123" i="20"/>
  <c r="E124" i="20"/>
  <c r="E125" i="20"/>
  <c r="E126" i="20"/>
  <c r="E127" i="20"/>
  <c r="E128" i="20"/>
  <c r="E129" i="20"/>
  <c r="E130" i="20"/>
  <c r="E131" i="20"/>
  <c r="E132" i="20"/>
  <c r="E133" i="20"/>
  <c r="E134" i="20"/>
  <c r="E135" i="20"/>
  <c r="E136" i="20"/>
  <c r="E137" i="20"/>
  <c r="E138" i="20"/>
  <c r="E139" i="20"/>
  <c r="E140" i="20"/>
  <c r="E141" i="20"/>
  <c r="E142" i="20"/>
  <c r="E143" i="20"/>
  <c r="E144" i="20"/>
  <c r="E145" i="20"/>
  <c r="E146" i="20"/>
  <c r="E147" i="20"/>
  <c r="E148" i="20"/>
  <c r="E149" i="20"/>
  <c r="E150" i="20"/>
  <c r="E151" i="20"/>
  <c r="E152" i="20"/>
  <c r="E153" i="20"/>
  <c r="E154" i="20"/>
  <c r="E155" i="20"/>
  <c r="E156" i="20"/>
  <c r="E157" i="20"/>
  <c r="E158" i="20"/>
  <c r="E159" i="20"/>
  <c r="E160" i="20"/>
  <c r="E161" i="20"/>
  <c r="E162" i="20"/>
  <c r="E163" i="20"/>
  <c r="E164" i="20"/>
  <c r="E165" i="20"/>
  <c r="E166" i="20"/>
  <c r="E167" i="20"/>
  <c r="E168" i="20"/>
  <c r="E169" i="20"/>
  <c r="E170" i="20"/>
  <c r="E171" i="20"/>
  <c r="E172" i="20"/>
  <c r="E173" i="20"/>
  <c r="E174" i="20"/>
  <c r="E175" i="20"/>
  <c r="E176" i="20"/>
  <c r="E177" i="20"/>
  <c r="E178" i="20"/>
  <c r="E179" i="20"/>
  <c r="E180" i="20"/>
  <c r="E181" i="20"/>
  <c r="E182" i="20"/>
  <c r="E183" i="20"/>
  <c r="E184" i="20"/>
  <c r="E185" i="20"/>
  <c r="E186" i="20"/>
  <c r="E187" i="20"/>
  <c r="E188" i="20"/>
  <c r="E189" i="20"/>
  <c r="E190" i="20"/>
  <c r="E191" i="20"/>
  <c r="E192" i="20"/>
  <c r="E193" i="20"/>
  <c r="E194" i="20"/>
  <c r="E195" i="20"/>
  <c r="E196" i="20"/>
  <c r="E197" i="20"/>
  <c r="E198" i="20"/>
  <c r="E199" i="20"/>
  <c r="E200" i="20"/>
  <c r="E201" i="20"/>
  <c r="E202" i="20"/>
  <c r="E203" i="20"/>
  <c r="E204" i="20"/>
  <c r="E205" i="20"/>
  <c r="E206" i="20"/>
  <c r="E207" i="20"/>
  <c r="E208" i="20"/>
  <c r="E209" i="20"/>
  <c r="E210" i="20"/>
  <c r="E211" i="20"/>
  <c r="E212" i="20"/>
  <c r="E213" i="20"/>
  <c r="E214" i="20"/>
  <c r="E215" i="20"/>
  <c r="E216" i="20"/>
  <c r="E217" i="20"/>
  <c r="E218" i="20"/>
  <c r="E219" i="20"/>
  <c r="E220" i="20"/>
  <c r="E221" i="20"/>
  <c r="E222" i="20"/>
  <c r="E223" i="20"/>
  <c r="E224" i="20"/>
  <c r="E225" i="20"/>
  <c r="E226" i="20"/>
  <c r="E227" i="20"/>
  <c r="E228" i="20"/>
  <c r="E229" i="20"/>
  <c r="E230" i="20"/>
  <c r="E231" i="20"/>
  <c r="E232" i="20"/>
  <c r="E233" i="20"/>
  <c r="E234" i="20"/>
  <c r="E235" i="20"/>
  <c r="E236" i="20"/>
  <c r="E237" i="20"/>
  <c r="E238" i="20"/>
  <c r="E239" i="20"/>
  <c r="E240" i="20"/>
  <c r="E241" i="20"/>
  <c r="E242" i="20"/>
  <c r="E10" i="20"/>
  <c r="S9" i="22" l="1"/>
  <c r="R8" i="22"/>
  <c r="L13" i="22"/>
  <c r="P12" i="21"/>
  <c r="V13" i="21"/>
  <c r="T11" i="21"/>
  <c r="U12" i="21"/>
  <c r="M16" i="21" s="1"/>
  <c r="F17" i="21"/>
  <c r="K13" i="22"/>
  <c r="R15" i="22"/>
  <c r="I17" i="21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E47" i="10"/>
  <c r="E48" i="10"/>
  <c r="E49" i="10"/>
  <c r="E50" i="10"/>
  <c r="E51" i="10"/>
  <c r="E52" i="10"/>
  <c r="E53" i="10"/>
  <c r="E54" i="10"/>
  <c r="E55" i="10"/>
  <c r="E56" i="10"/>
  <c r="E57" i="10"/>
  <c r="E58" i="10"/>
  <c r="E59" i="10"/>
  <c r="E60" i="10"/>
  <c r="E61" i="10"/>
  <c r="E62" i="10"/>
  <c r="E63" i="10"/>
  <c r="E64" i="10"/>
  <c r="E65" i="10"/>
  <c r="E66" i="10"/>
  <c r="E67" i="10"/>
  <c r="E68" i="10"/>
  <c r="E69" i="10"/>
  <c r="E70" i="10"/>
  <c r="E71" i="10"/>
  <c r="E72" i="10"/>
  <c r="E73" i="10"/>
  <c r="E74" i="10"/>
  <c r="E75" i="10"/>
  <c r="E76" i="10"/>
  <c r="E77" i="10"/>
  <c r="E78" i="10"/>
  <c r="E79" i="10"/>
  <c r="E80" i="10"/>
  <c r="E81" i="10"/>
  <c r="E82" i="10"/>
  <c r="E83" i="10"/>
  <c r="E84" i="10"/>
  <c r="E85" i="10"/>
  <c r="E86" i="10"/>
  <c r="E87" i="10"/>
  <c r="E88" i="10"/>
  <c r="E89" i="10"/>
  <c r="E90" i="10"/>
  <c r="E91" i="10"/>
  <c r="E92" i="10"/>
  <c r="E93" i="10"/>
  <c r="E94" i="10"/>
  <c r="E95" i="10"/>
  <c r="E96" i="10"/>
  <c r="E97" i="10"/>
  <c r="E98" i="10"/>
  <c r="E99" i="10"/>
  <c r="E100" i="10"/>
  <c r="E101" i="10"/>
  <c r="E102" i="10"/>
  <c r="E103" i="10"/>
  <c r="E104" i="10"/>
  <c r="E105" i="10"/>
  <c r="E106" i="10"/>
  <c r="E107" i="10"/>
  <c r="E108" i="10"/>
  <c r="E109" i="10"/>
  <c r="E110" i="10"/>
  <c r="E111" i="10"/>
  <c r="E112" i="10"/>
  <c r="E113" i="10"/>
  <c r="E114" i="10"/>
  <c r="E115" i="10"/>
  <c r="E116" i="10"/>
  <c r="E117" i="10"/>
  <c r="E118" i="10"/>
  <c r="E119" i="10"/>
  <c r="E120" i="10"/>
  <c r="E121" i="10"/>
  <c r="E122" i="10"/>
  <c r="E123" i="10"/>
  <c r="E124" i="10"/>
  <c r="E125" i="10"/>
  <c r="E126" i="10"/>
  <c r="E127" i="10"/>
  <c r="E128" i="10"/>
  <c r="E129" i="10"/>
  <c r="E130" i="10"/>
  <c r="E131" i="10"/>
  <c r="E132" i="10"/>
  <c r="E133" i="10"/>
  <c r="E134" i="10"/>
  <c r="E135" i="10"/>
  <c r="E136" i="10"/>
  <c r="E137" i="10"/>
  <c r="E138" i="10"/>
  <c r="E139" i="10"/>
  <c r="E140" i="10"/>
  <c r="E141" i="10"/>
  <c r="E142" i="10"/>
  <c r="E143" i="10"/>
  <c r="E144" i="10"/>
  <c r="E145" i="10"/>
  <c r="E146" i="10"/>
  <c r="E147" i="10"/>
  <c r="E148" i="10"/>
  <c r="E149" i="10"/>
  <c r="E150" i="10"/>
  <c r="E151" i="10"/>
  <c r="E152" i="10"/>
  <c r="E153" i="10"/>
  <c r="E154" i="10"/>
  <c r="E155" i="10"/>
  <c r="E156" i="10"/>
  <c r="E157" i="10"/>
  <c r="E158" i="10"/>
  <c r="E159" i="10"/>
  <c r="E160" i="10"/>
  <c r="E161" i="10"/>
  <c r="E162" i="10"/>
  <c r="E163" i="10"/>
  <c r="E164" i="10"/>
  <c r="E165" i="10"/>
  <c r="E166" i="10"/>
  <c r="E167" i="10"/>
  <c r="E168" i="10"/>
  <c r="E169" i="10"/>
  <c r="E170" i="10"/>
  <c r="E171" i="10"/>
  <c r="E172" i="10"/>
  <c r="E173" i="10"/>
  <c r="E174" i="10"/>
  <c r="E175" i="10"/>
  <c r="E176" i="10"/>
  <c r="E177" i="10"/>
  <c r="E178" i="10"/>
  <c r="E179" i="10"/>
  <c r="E180" i="10"/>
  <c r="E181" i="10"/>
  <c r="E182" i="10"/>
  <c r="E183" i="10"/>
  <c r="E184" i="10"/>
  <c r="E185" i="10"/>
  <c r="E186" i="10"/>
  <c r="E187" i="10"/>
  <c r="E188" i="10"/>
  <c r="E189" i="10"/>
  <c r="E190" i="10"/>
  <c r="E191" i="10"/>
  <c r="E192" i="10"/>
  <c r="E193" i="10"/>
  <c r="E194" i="10"/>
  <c r="E195" i="10"/>
  <c r="E196" i="10"/>
  <c r="E197" i="10"/>
  <c r="E198" i="10"/>
  <c r="E199" i="10"/>
  <c r="E200" i="10"/>
  <c r="E201" i="10"/>
  <c r="E202" i="10"/>
  <c r="E203" i="10"/>
  <c r="E204" i="10"/>
  <c r="E205" i="10"/>
  <c r="E206" i="10"/>
  <c r="E207" i="10"/>
  <c r="E208" i="10"/>
  <c r="E209" i="10"/>
  <c r="E210" i="10"/>
  <c r="E211" i="10"/>
  <c r="E212" i="10"/>
  <c r="E213" i="10"/>
  <c r="E214" i="10"/>
  <c r="E215" i="10"/>
  <c r="E216" i="10"/>
  <c r="E217" i="10"/>
  <c r="E218" i="10"/>
  <c r="E219" i="10"/>
  <c r="E220" i="10"/>
  <c r="E221" i="10"/>
  <c r="E222" i="10"/>
  <c r="E223" i="10"/>
  <c r="E224" i="10"/>
  <c r="E225" i="10"/>
  <c r="E226" i="10"/>
  <c r="E227" i="10"/>
  <c r="E228" i="10"/>
  <c r="E229" i="10"/>
  <c r="E230" i="10"/>
  <c r="E231" i="10"/>
  <c r="E232" i="10"/>
  <c r="E233" i="10"/>
  <c r="E234" i="10"/>
  <c r="E235" i="10"/>
  <c r="E236" i="10"/>
  <c r="E237" i="10"/>
  <c r="E238" i="10"/>
  <c r="E239" i="10"/>
  <c r="E240" i="10"/>
  <c r="E241" i="10"/>
  <c r="E242" i="10"/>
  <c r="E10" i="10"/>
  <c r="C242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117" i="10"/>
  <c r="C118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40" i="10"/>
  <c r="C141" i="10"/>
  <c r="C142" i="10"/>
  <c r="C143" i="10"/>
  <c r="C144" i="10"/>
  <c r="C145" i="10"/>
  <c r="C146" i="10"/>
  <c r="C147" i="10"/>
  <c r="C148" i="10"/>
  <c r="C149" i="10"/>
  <c r="C150" i="10"/>
  <c r="C151" i="10"/>
  <c r="C152" i="10"/>
  <c r="C153" i="10"/>
  <c r="C154" i="10"/>
  <c r="C155" i="10"/>
  <c r="C156" i="10"/>
  <c r="C157" i="10"/>
  <c r="C158" i="10"/>
  <c r="C159" i="10"/>
  <c r="C160" i="10"/>
  <c r="C161" i="10"/>
  <c r="C162" i="10"/>
  <c r="C163" i="10"/>
  <c r="C164" i="10"/>
  <c r="C165" i="10"/>
  <c r="C166" i="10"/>
  <c r="C167" i="10"/>
  <c r="C168" i="10"/>
  <c r="C169" i="10"/>
  <c r="C170" i="10"/>
  <c r="C171" i="10"/>
  <c r="C172" i="10"/>
  <c r="C173" i="10"/>
  <c r="C174" i="10"/>
  <c r="C175" i="10"/>
  <c r="C176" i="10"/>
  <c r="C177" i="10"/>
  <c r="C178" i="10"/>
  <c r="C179" i="10"/>
  <c r="C180" i="10"/>
  <c r="C181" i="10"/>
  <c r="C182" i="10"/>
  <c r="C183" i="10"/>
  <c r="C184" i="10"/>
  <c r="C185" i="10"/>
  <c r="C186" i="10"/>
  <c r="C187" i="10"/>
  <c r="C188" i="10"/>
  <c r="C189" i="10"/>
  <c r="C190" i="10"/>
  <c r="C191" i="10"/>
  <c r="C192" i="10"/>
  <c r="C193" i="10"/>
  <c r="C194" i="10"/>
  <c r="C195" i="10"/>
  <c r="C196" i="10"/>
  <c r="C197" i="10"/>
  <c r="C198" i="10"/>
  <c r="C199" i="10"/>
  <c r="C200" i="10"/>
  <c r="C201" i="10"/>
  <c r="C202" i="10"/>
  <c r="C203" i="10"/>
  <c r="C204" i="10"/>
  <c r="C205" i="10"/>
  <c r="C206" i="10"/>
  <c r="C207" i="10"/>
  <c r="C208" i="10"/>
  <c r="C209" i="10"/>
  <c r="C210" i="10"/>
  <c r="C211" i="10"/>
  <c r="C212" i="10"/>
  <c r="C213" i="10"/>
  <c r="C214" i="10"/>
  <c r="C215" i="10"/>
  <c r="C216" i="10"/>
  <c r="C217" i="10"/>
  <c r="C218" i="10"/>
  <c r="C219" i="10"/>
  <c r="C220" i="10"/>
  <c r="C221" i="10"/>
  <c r="C222" i="10"/>
  <c r="C223" i="10"/>
  <c r="C224" i="10"/>
  <c r="C225" i="10"/>
  <c r="C226" i="10"/>
  <c r="C227" i="10"/>
  <c r="C228" i="10"/>
  <c r="C229" i="10"/>
  <c r="C230" i="10"/>
  <c r="C231" i="10"/>
  <c r="C232" i="10"/>
  <c r="C233" i="10"/>
  <c r="C234" i="10"/>
  <c r="C235" i="10"/>
  <c r="C236" i="10"/>
  <c r="C237" i="10"/>
  <c r="C238" i="10"/>
  <c r="C239" i="10"/>
  <c r="C240" i="10"/>
  <c r="C241" i="10"/>
  <c r="C10" i="10"/>
  <c r="M18" i="21" l="1"/>
  <c r="P18" i="21" s="1"/>
  <c r="M17" i="21"/>
  <c r="P17" i="21" s="1"/>
  <c r="M13" i="22"/>
  <c r="V9" i="22"/>
  <c r="P14" i="22" s="1"/>
  <c r="S15" i="22" s="1"/>
  <c r="U8" i="22"/>
  <c r="T12" i="21"/>
  <c r="G17" i="21"/>
  <c r="Q12" i="21"/>
  <c r="R13" i="21"/>
  <c r="P11" i="21"/>
  <c r="I6" i="19"/>
  <c r="H5" i="19"/>
  <c r="E6" i="19"/>
  <c r="E5" i="19"/>
  <c r="D6" i="19"/>
  <c r="D5" i="19"/>
  <c r="P6" i="18"/>
  <c r="P5" i="18"/>
  <c r="I6" i="18"/>
  <c r="H6" i="18"/>
  <c r="I5" i="18"/>
  <c r="H5" i="18"/>
  <c r="E6" i="18"/>
  <c r="D6" i="18"/>
  <c r="E5" i="18"/>
  <c r="C15" i="18" s="1"/>
  <c r="D5" i="18"/>
  <c r="E15" i="18" l="1"/>
  <c r="D15" i="18"/>
  <c r="L18" i="21"/>
  <c r="L17" i="21"/>
  <c r="O17" i="21" s="1"/>
  <c r="O18" i="21"/>
  <c r="K22" i="17"/>
  <c r="J22" i="17"/>
  <c r="F17" i="17"/>
  <c r="E17" i="17"/>
  <c r="D17" i="17"/>
  <c r="F15" i="18" l="1"/>
  <c r="D10" i="19"/>
  <c r="D10" i="18"/>
  <c r="F10" i="19"/>
  <c r="F10" i="18"/>
  <c r="E10" i="18"/>
  <c r="E10" i="19"/>
  <c r="B17" i="17"/>
  <c r="I17" i="17" l="1"/>
  <c r="B10" i="19"/>
  <c r="B10" i="18"/>
  <c r="G17" i="17"/>
  <c r="E34" i="17" s="1"/>
  <c r="J17" i="17" l="1"/>
  <c r="J10" i="19" s="1"/>
  <c r="E36" i="17"/>
  <c r="F22" i="17"/>
  <c r="E30" i="17" s="1"/>
  <c r="H17" i="17"/>
  <c r="G10" i="19"/>
  <c r="G10" i="18"/>
  <c r="I10" i="19"/>
  <c r="I10" i="18"/>
  <c r="D22" i="17"/>
  <c r="E28" i="17" s="1"/>
  <c r="I33" i="14"/>
  <c r="J33" i="14" s="1"/>
  <c r="H39" i="14"/>
  <c r="I39" i="14" s="1"/>
  <c r="J39" i="14" s="1"/>
  <c r="H38" i="14"/>
  <c r="I38" i="14" s="1"/>
  <c r="J38" i="14" s="1"/>
  <c r="H37" i="14"/>
  <c r="I37" i="14" s="1"/>
  <c r="J37" i="14" s="1"/>
  <c r="H36" i="14"/>
  <c r="I36" i="14" s="1"/>
  <c r="J36" i="14" s="1"/>
  <c r="H35" i="14"/>
  <c r="I35" i="14" s="1"/>
  <c r="J35" i="14" s="1"/>
  <c r="H34" i="14"/>
  <c r="I34" i="14" s="1"/>
  <c r="J34" i="14" s="1"/>
  <c r="H33" i="14"/>
  <c r="J10" i="18" l="1"/>
  <c r="J21" i="17"/>
  <c r="D30" i="17"/>
  <c r="Q21" i="17" s="1"/>
  <c r="P21" i="17" s="1"/>
  <c r="U25" i="17" s="1"/>
  <c r="H10" i="18"/>
  <c r="H10" i="19"/>
  <c r="H21" i="17"/>
  <c r="E24" i="17" s="1"/>
  <c r="K21" i="17"/>
  <c r="D28" i="17"/>
  <c r="M21" i="17" s="1"/>
  <c r="N21" i="17" s="1"/>
  <c r="T25" i="17" s="1"/>
  <c r="T31" i="14"/>
  <c r="U31" i="14" s="1"/>
  <c r="V31" i="14" s="1"/>
  <c r="T32" i="14"/>
  <c r="U32" i="14" s="1"/>
  <c r="V32" i="14" s="1"/>
  <c r="T33" i="14"/>
  <c r="U33" i="14" s="1"/>
  <c r="V33" i="14" s="1"/>
  <c r="T34" i="14"/>
  <c r="U34" i="14" s="1"/>
  <c r="V34" i="14" s="1"/>
  <c r="T35" i="14"/>
  <c r="U35" i="14" s="1"/>
  <c r="V35" i="14" s="1"/>
  <c r="T36" i="14"/>
  <c r="U36" i="14" s="1"/>
  <c r="V36" i="14" s="1"/>
  <c r="T37" i="14"/>
  <c r="U37" i="14" s="1"/>
  <c r="V37" i="14" s="1"/>
  <c r="T38" i="14"/>
  <c r="U38" i="14" s="1"/>
  <c r="V38" i="14" s="1"/>
  <c r="T39" i="14"/>
  <c r="U39" i="14" s="1"/>
  <c r="V39" i="14" s="1"/>
  <c r="T30" i="14"/>
  <c r="U30" i="14" s="1"/>
  <c r="V30" i="14" s="1"/>
  <c r="M18" i="14"/>
  <c r="H32" i="14" s="1"/>
  <c r="I32" i="14" s="1"/>
  <c r="J32" i="14" s="1"/>
  <c r="L18" i="14"/>
  <c r="L32" i="14" s="1"/>
  <c r="M32" i="14" s="1"/>
  <c r="N32" i="14" s="1"/>
  <c r="S22" i="17" l="1"/>
  <c r="S15" i="19" s="1"/>
  <c r="P14" i="19"/>
  <c r="AA14" i="19" s="1"/>
  <c r="P22" i="17"/>
  <c r="U26" i="17" s="1"/>
  <c r="P14" i="18"/>
  <c r="H32" i="18" s="1"/>
  <c r="L39" i="17"/>
  <c r="O39" i="17"/>
  <c r="E25" i="17"/>
  <c r="F39" i="17"/>
  <c r="I39" i="17"/>
  <c r="F25" i="17"/>
  <c r="F24" i="17"/>
  <c r="N14" i="19"/>
  <c r="Y14" i="19" s="1"/>
  <c r="N14" i="18"/>
  <c r="T22" i="17"/>
  <c r="N22" i="17"/>
  <c r="H30" i="14"/>
  <c r="H31" i="14"/>
  <c r="I31" i="14" s="1"/>
  <c r="J31" i="14" s="1"/>
  <c r="P38" i="14"/>
  <c r="Q38" i="14" s="1"/>
  <c r="R38" i="14" s="1"/>
  <c r="P36" i="14"/>
  <c r="Q36" i="14" s="1"/>
  <c r="R36" i="14" s="1"/>
  <c r="P35" i="14"/>
  <c r="Q35" i="14" s="1"/>
  <c r="R35" i="14" s="1"/>
  <c r="P39" i="14"/>
  <c r="Q39" i="14" s="1"/>
  <c r="R39" i="14" s="1"/>
  <c r="P33" i="14"/>
  <c r="Q33" i="14" s="1"/>
  <c r="R33" i="14" s="1"/>
  <c r="P30" i="14"/>
  <c r="Q30" i="14" s="1"/>
  <c r="R30" i="14" s="1"/>
  <c r="P37" i="14"/>
  <c r="Q37" i="14" s="1"/>
  <c r="R37" i="14" s="1"/>
  <c r="P32" i="14"/>
  <c r="Q32" i="14" s="1"/>
  <c r="R32" i="14" s="1"/>
  <c r="P34" i="14"/>
  <c r="Q34" i="14" s="1"/>
  <c r="R34" i="14" s="1"/>
  <c r="P31" i="14"/>
  <c r="Q31" i="14" s="1"/>
  <c r="R31" i="14" s="1"/>
  <c r="L39" i="14"/>
  <c r="M39" i="14" s="1"/>
  <c r="N39" i="14" s="1"/>
  <c r="D38" i="14"/>
  <c r="E38" i="14" s="1"/>
  <c r="F38" i="14" s="1"/>
  <c r="L35" i="14"/>
  <c r="M35" i="14" s="1"/>
  <c r="N35" i="14" s="1"/>
  <c r="D34" i="14"/>
  <c r="E34" i="14" s="1"/>
  <c r="F34" i="14" s="1"/>
  <c r="L31" i="14"/>
  <c r="M31" i="14" s="1"/>
  <c r="N31" i="14" s="1"/>
  <c r="I30" i="14"/>
  <c r="J30" i="14" s="1"/>
  <c r="D37" i="14"/>
  <c r="E37" i="14" s="1"/>
  <c r="F37" i="14" s="1"/>
  <c r="D33" i="14"/>
  <c r="E33" i="14" s="1"/>
  <c r="F33" i="14" s="1"/>
  <c r="L38" i="14"/>
  <c r="M38" i="14" s="1"/>
  <c r="N38" i="14" s="1"/>
  <c r="L34" i="14"/>
  <c r="M34" i="14" s="1"/>
  <c r="N34" i="14" s="1"/>
  <c r="D30" i="14"/>
  <c r="E30" i="14" s="1"/>
  <c r="F30" i="14" s="1"/>
  <c r="D36" i="14"/>
  <c r="E36" i="14" s="1"/>
  <c r="F36" i="14" s="1"/>
  <c r="D32" i="14"/>
  <c r="E32" i="14" s="1"/>
  <c r="F32" i="14" s="1"/>
  <c r="L37" i="14"/>
  <c r="M37" i="14" s="1"/>
  <c r="N37" i="14" s="1"/>
  <c r="L33" i="14"/>
  <c r="M33" i="14" s="1"/>
  <c r="N33" i="14" s="1"/>
  <c r="D39" i="14"/>
  <c r="E39" i="14" s="1"/>
  <c r="F39" i="14" s="1"/>
  <c r="D35" i="14"/>
  <c r="E35" i="14" s="1"/>
  <c r="F35" i="14" s="1"/>
  <c r="D31" i="14"/>
  <c r="E31" i="14" s="1"/>
  <c r="F31" i="14" s="1"/>
  <c r="L30" i="14"/>
  <c r="M30" i="14" s="1"/>
  <c r="N30" i="14" s="1"/>
  <c r="L36" i="14"/>
  <c r="M36" i="14" s="1"/>
  <c r="N36" i="14" s="1"/>
  <c r="S15" i="18" l="1"/>
  <c r="P15" i="18"/>
  <c r="C20" i="18" s="1"/>
  <c r="G19" i="18" s="1"/>
  <c r="D36" i="17"/>
  <c r="S21" i="17"/>
  <c r="S14" i="18" s="1"/>
  <c r="P15" i="19"/>
  <c r="G29" i="19" s="1"/>
  <c r="E29" i="18"/>
  <c r="O40" i="17"/>
  <c r="L40" i="17"/>
  <c r="D29" i="19"/>
  <c r="T26" i="17"/>
  <c r="I40" i="17"/>
  <c r="F40" i="17"/>
  <c r="F32" i="18"/>
  <c r="P18" i="17"/>
  <c r="P11" i="18" s="1"/>
  <c r="T15" i="19"/>
  <c r="T15" i="18"/>
  <c r="D34" i="17"/>
  <c r="N15" i="18"/>
  <c r="F33" i="18" s="1"/>
  <c r="N15" i="19"/>
  <c r="S14" i="19"/>
  <c r="T21" i="17"/>
  <c r="P6" i="9"/>
  <c r="K5" i="9"/>
  <c r="G23" i="9" s="1"/>
  <c r="H23" i="9" s="1"/>
  <c r="I5" i="9"/>
  <c r="L5" i="9" s="1"/>
  <c r="M5" i="9" s="1"/>
  <c r="H33" i="18" l="1"/>
  <c r="E29" i="19"/>
  <c r="AA20" i="19"/>
  <c r="D27" i="19"/>
  <c r="Y20" i="19"/>
  <c r="P11" i="19"/>
  <c r="Q25" i="17"/>
  <c r="Q18" i="19" s="1"/>
  <c r="P25" i="17"/>
  <c r="P18" i="19" s="1"/>
  <c r="B20" i="18"/>
  <c r="F19" i="18" s="1"/>
  <c r="F22" i="18" s="1"/>
  <c r="P24" i="17"/>
  <c r="P17" i="18" s="1"/>
  <c r="G27" i="19"/>
  <c r="E27" i="18"/>
  <c r="E27" i="19"/>
  <c r="Q24" i="17"/>
  <c r="T14" i="19"/>
  <c r="T14" i="18"/>
  <c r="G19" i="9"/>
  <c r="H19" i="9" s="1"/>
  <c r="G15" i="9"/>
  <c r="H15" i="9" s="1"/>
  <c r="G11" i="9"/>
  <c r="H11" i="9" s="1"/>
  <c r="G30" i="9"/>
  <c r="H30" i="9" s="1"/>
  <c r="G26" i="9"/>
  <c r="H26" i="9" s="1"/>
  <c r="G22" i="9"/>
  <c r="H22" i="9" s="1"/>
  <c r="G18" i="9"/>
  <c r="H18" i="9" s="1"/>
  <c r="G14" i="9"/>
  <c r="H14" i="9" s="1"/>
  <c r="G10" i="9"/>
  <c r="H10" i="9" s="1"/>
  <c r="G29" i="9"/>
  <c r="H29" i="9" s="1"/>
  <c r="G25" i="9"/>
  <c r="H25" i="9" s="1"/>
  <c r="G21" i="9"/>
  <c r="H21" i="9" s="1"/>
  <c r="G17" i="9"/>
  <c r="H17" i="9" s="1"/>
  <c r="G13" i="9"/>
  <c r="H13" i="9" s="1"/>
  <c r="G9" i="9"/>
  <c r="H9" i="9" s="1"/>
  <c r="G27" i="9"/>
  <c r="H27" i="9" s="1"/>
  <c r="G28" i="9"/>
  <c r="H28" i="9" s="1"/>
  <c r="G24" i="9"/>
  <c r="H24" i="9" s="1"/>
  <c r="G20" i="9"/>
  <c r="H20" i="9" s="1"/>
  <c r="G16" i="9"/>
  <c r="H16" i="9" s="1"/>
  <c r="G12" i="9"/>
  <c r="H12" i="9" s="1"/>
  <c r="G8" i="9"/>
  <c r="H8" i="9" s="1"/>
  <c r="B36" i="17" l="1"/>
  <c r="B29" i="18" s="1"/>
  <c r="Q18" i="18"/>
  <c r="P17" i="19"/>
  <c r="P18" i="18"/>
  <c r="G22" i="18"/>
  <c r="B30" i="17"/>
  <c r="Q17" i="18"/>
  <c r="Q17" i="19"/>
  <c r="B28" i="17"/>
  <c r="B34" i="17"/>
  <c r="B27" i="18" s="1"/>
  <c r="B29" i="19"/>
  <c r="F3" i="4"/>
  <c r="E3" i="4"/>
  <c r="B27" i="19" l="1"/>
  <c r="L5" i="18"/>
  <c r="M6" i="18"/>
  <c r="M6" i="19" s="1"/>
  <c r="L6" i="18"/>
  <c r="L6" i="19" s="1"/>
  <c r="M5" i="18"/>
  <c r="M5" i="19" s="1"/>
  <c r="AW3" i="3"/>
  <c r="F27" i="18" l="1"/>
  <c r="L5" i="19"/>
  <c r="F29" i="18"/>
  <c r="P2" i="2"/>
  <c r="G29" i="18" l="1"/>
  <c r="F29" i="19"/>
  <c r="F27" i="19"/>
  <c r="G27" i="18"/>
  <c r="BC4" i="8"/>
  <c r="BD4" i="8" s="1"/>
  <c r="Y4" i="8" l="1"/>
  <c r="AD4" i="8" s="1"/>
  <c r="AP4" i="8"/>
  <c r="AB4" i="8"/>
  <c r="AC4" i="8" l="1"/>
  <c r="AM4" i="8"/>
  <c r="AT8" i="3"/>
  <c r="Y4" i="2"/>
  <c r="Y4" i="5"/>
  <c r="D15" i="7"/>
  <c r="U3" i="3"/>
  <c r="L5" i="2"/>
  <c r="C5" i="2" s="1"/>
  <c r="M3" i="2"/>
  <c r="AA3" i="3"/>
  <c r="S3" i="3"/>
  <c r="X3" i="3" s="1"/>
  <c r="Q4" i="5"/>
  <c r="A4" i="5" s="1"/>
  <c r="D4" i="5"/>
  <c r="D11" i="3"/>
  <c r="E11" i="3"/>
  <c r="F11" i="3"/>
  <c r="G11" i="3"/>
  <c r="H11" i="3"/>
  <c r="I11" i="3"/>
  <c r="J11" i="3"/>
  <c r="K11" i="3"/>
  <c r="L11" i="3"/>
  <c r="M11" i="3"/>
  <c r="N11" i="3"/>
  <c r="O11" i="3"/>
  <c r="D12" i="3"/>
  <c r="E12" i="3"/>
  <c r="F12" i="3"/>
  <c r="G12" i="3"/>
  <c r="H12" i="3"/>
  <c r="I12" i="3"/>
  <c r="J12" i="3"/>
  <c r="K12" i="3"/>
  <c r="L12" i="3"/>
  <c r="M12" i="3"/>
  <c r="N12" i="3"/>
  <c r="O12" i="3"/>
  <c r="D13" i="3"/>
  <c r="E13" i="3"/>
  <c r="F13" i="3"/>
  <c r="G13" i="3"/>
  <c r="H13" i="3"/>
  <c r="I13" i="3"/>
  <c r="J13" i="3"/>
  <c r="K13" i="3"/>
  <c r="L13" i="3"/>
  <c r="M13" i="3"/>
  <c r="N13" i="3"/>
  <c r="O13" i="3"/>
  <c r="D14" i="3"/>
  <c r="E14" i="3"/>
  <c r="F14" i="3"/>
  <c r="G14" i="3"/>
  <c r="H14" i="3"/>
  <c r="I14" i="3"/>
  <c r="J14" i="3"/>
  <c r="K14" i="3"/>
  <c r="L14" i="3"/>
  <c r="M14" i="3"/>
  <c r="N14" i="3"/>
  <c r="O14" i="3"/>
  <c r="D15" i="3"/>
  <c r="E15" i="3"/>
  <c r="F15" i="3"/>
  <c r="G15" i="3"/>
  <c r="H15" i="3"/>
  <c r="I15" i="3"/>
  <c r="J15" i="3"/>
  <c r="K15" i="3"/>
  <c r="L15" i="3"/>
  <c r="M15" i="3"/>
  <c r="N15" i="3"/>
  <c r="O15" i="3"/>
  <c r="D16" i="3"/>
  <c r="E16" i="3"/>
  <c r="F16" i="3"/>
  <c r="G16" i="3"/>
  <c r="H16" i="3"/>
  <c r="I16" i="3"/>
  <c r="J16" i="3"/>
  <c r="K16" i="3"/>
  <c r="L16" i="3"/>
  <c r="M16" i="3"/>
  <c r="N16" i="3"/>
  <c r="O16" i="3"/>
  <c r="D17" i="3"/>
  <c r="E17" i="3"/>
  <c r="F17" i="3"/>
  <c r="G17" i="3"/>
  <c r="H17" i="3"/>
  <c r="I17" i="3"/>
  <c r="J17" i="3"/>
  <c r="K17" i="3"/>
  <c r="L17" i="3"/>
  <c r="M17" i="3"/>
  <c r="N17" i="3"/>
  <c r="O17" i="3"/>
  <c r="D18" i="3"/>
  <c r="E18" i="3"/>
  <c r="F18" i="3"/>
  <c r="G18" i="3"/>
  <c r="H18" i="3"/>
  <c r="I18" i="3"/>
  <c r="J18" i="3"/>
  <c r="K18" i="3"/>
  <c r="L18" i="3"/>
  <c r="M18" i="3"/>
  <c r="N18" i="3"/>
  <c r="O18" i="3"/>
  <c r="D19" i="3"/>
  <c r="E19" i="3"/>
  <c r="F19" i="3"/>
  <c r="G19" i="3"/>
  <c r="H19" i="3"/>
  <c r="I19" i="3"/>
  <c r="J19" i="3"/>
  <c r="K19" i="3"/>
  <c r="L19" i="3"/>
  <c r="M19" i="3"/>
  <c r="N19" i="3"/>
  <c r="O19" i="3"/>
  <c r="D20" i="3"/>
  <c r="E20" i="3"/>
  <c r="F20" i="3"/>
  <c r="G20" i="3"/>
  <c r="H20" i="3"/>
  <c r="I20" i="3"/>
  <c r="J20" i="3"/>
  <c r="K20" i="3"/>
  <c r="L20" i="3"/>
  <c r="M20" i="3"/>
  <c r="N20" i="3"/>
  <c r="O20" i="3"/>
  <c r="D21" i="3"/>
  <c r="E21" i="3"/>
  <c r="F21" i="3"/>
  <c r="G21" i="3"/>
  <c r="H21" i="3"/>
  <c r="I21" i="3"/>
  <c r="J21" i="3"/>
  <c r="K21" i="3"/>
  <c r="L21" i="3"/>
  <c r="M21" i="3"/>
  <c r="N21" i="3"/>
  <c r="O21" i="3"/>
  <c r="D22" i="3"/>
  <c r="E22" i="3"/>
  <c r="F22" i="3"/>
  <c r="G22" i="3"/>
  <c r="H22" i="3"/>
  <c r="I22" i="3"/>
  <c r="J22" i="3"/>
  <c r="K22" i="3"/>
  <c r="L22" i="3"/>
  <c r="M22" i="3"/>
  <c r="N22" i="3"/>
  <c r="O22" i="3"/>
  <c r="D23" i="3"/>
  <c r="E23" i="3"/>
  <c r="F23" i="3"/>
  <c r="G23" i="3"/>
  <c r="H23" i="3"/>
  <c r="I23" i="3"/>
  <c r="J23" i="3"/>
  <c r="K23" i="3"/>
  <c r="L23" i="3"/>
  <c r="M23" i="3"/>
  <c r="N23" i="3"/>
  <c r="O23" i="3"/>
  <c r="D24" i="3"/>
  <c r="E24" i="3"/>
  <c r="F24" i="3"/>
  <c r="G24" i="3"/>
  <c r="H24" i="3"/>
  <c r="I24" i="3"/>
  <c r="J24" i="3"/>
  <c r="K24" i="3"/>
  <c r="L24" i="3"/>
  <c r="M24" i="3"/>
  <c r="N24" i="3"/>
  <c r="O24" i="3"/>
  <c r="D25" i="3"/>
  <c r="E25" i="3"/>
  <c r="F25" i="3"/>
  <c r="G25" i="3"/>
  <c r="H25" i="3"/>
  <c r="I25" i="3"/>
  <c r="J25" i="3"/>
  <c r="K25" i="3"/>
  <c r="L25" i="3"/>
  <c r="M25" i="3"/>
  <c r="N25" i="3"/>
  <c r="O25" i="3"/>
  <c r="D26" i="3"/>
  <c r="E26" i="3"/>
  <c r="F26" i="3"/>
  <c r="G26" i="3"/>
  <c r="H26" i="3"/>
  <c r="I26" i="3"/>
  <c r="J26" i="3"/>
  <c r="K26" i="3"/>
  <c r="L26" i="3"/>
  <c r="M26" i="3"/>
  <c r="N26" i="3"/>
  <c r="O26" i="3"/>
  <c r="D27" i="3"/>
  <c r="E27" i="3"/>
  <c r="F27" i="3"/>
  <c r="G27" i="3"/>
  <c r="H27" i="3"/>
  <c r="I27" i="3"/>
  <c r="J27" i="3"/>
  <c r="K27" i="3"/>
  <c r="L27" i="3"/>
  <c r="M27" i="3"/>
  <c r="N27" i="3"/>
  <c r="O27" i="3"/>
  <c r="D28" i="3"/>
  <c r="E28" i="3"/>
  <c r="F28" i="3"/>
  <c r="G28" i="3"/>
  <c r="H28" i="3"/>
  <c r="I28" i="3"/>
  <c r="J28" i="3"/>
  <c r="K28" i="3"/>
  <c r="L28" i="3"/>
  <c r="M28" i="3"/>
  <c r="N28" i="3"/>
  <c r="O28" i="3"/>
  <c r="D29" i="3"/>
  <c r="E29" i="3"/>
  <c r="F29" i="3"/>
  <c r="G29" i="3"/>
  <c r="H29" i="3"/>
  <c r="I29" i="3"/>
  <c r="J29" i="3"/>
  <c r="K29" i="3"/>
  <c r="L29" i="3"/>
  <c r="M29" i="3"/>
  <c r="N29" i="3"/>
  <c r="O29" i="3"/>
  <c r="D30" i="3"/>
  <c r="E30" i="3"/>
  <c r="F30" i="3"/>
  <c r="G30" i="3"/>
  <c r="H30" i="3"/>
  <c r="I30" i="3"/>
  <c r="J30" i="3"/>
  <c r="K30" i="3"/>
  <c r="L30" i="3"/>
  <c r="M30" i="3"/>
  <c r="N30" i="3"/>
  <c r="O30" i="3"/>
  <c r="D31" i="3"/>
  <c r="E31" i="3"/>
  <c r="F31" i="3"/>
  <c r="G31" i="3"/>
  <c r="H31" i="3"/>
  <c r="I31" i="3"/>
  <c r="J31" i="3"/>
  <c r="K31" i="3"/>
  <c r="L31" i="3"/>
  <c r="M31" i="3"/>
  <c r="N31" i="3"/>
  <c r="O31" i="3"/>
  <c r="D32" i="3"/>
  <c r="E32" i="3"/>
  <c r="F32" i="3"/>
  <c r="G32" i="3"/>
  <c r="H32" i="3"/>
  <c r="I32" i="3"/>
  <c r="J32" i="3"/>
  <c r="K32" i="3"/>
  <c r="L32" i="3"/>
  <c r="M32" i="3"/>
  <c r="N32" i="3"/>
  <c r="O32" i="3"/>
  <c r="D33" i="3"/>
  <c r="E33" i="3"/>
  <c r="F33" i="3"/>
  <c r="G33" i="3"/>
  <c r="H33" i="3"/>
  <c r="I33" i="3"/>
  <c r="J33" i="3"/>
  <c r="K33" i="3"/>
  <c r="L33" i="3"/>
  <c r="M33" i="3"/>
  <c r="N33" i="3"/>
  <c r="O33" i="3"/>
  <c r="D34" i="3"/>
  <c r="E34" i="3"/>
  <c r="F34" i="3"/>
  <c r="G34" i="3"/>
  <c r="H34" i="3"/>
  <c r="I34" i="3"/>
  <c r="J34" i="3"/>
  <c r="K34" i="3"/>
  <c r="L34" i="3"/>
  <c r="M34" i="3"/>
  <c r="N34" i="3"/>
  <c r="O34" i="3"/>
  <c r="D35" i="3"/>
  <c r="E35" i="3"/>
  <c r="F35" i="3"/>
  <c r="G35" i="3"/>
  <c r="H35" i="3"/>
  <c r="I35" i="3"/>
  <c r="J35" i="3"/>
  <c r="K35" i="3"/>
  <c r="L35" i="3"/>
  <c r="M35" i="3"/>
  <c r="N35" i="3"/>
  <c r="O35" i="3"/>
  <c r="D36" i="3"/>
  <c r="E36" i="3"/>
  <c r="F36" i="3"/>
  <c r="G36" i="3"/>
  <c r="H36" i="3"/>
  <c r="I36" i="3"/>
  <c r="J36" i="3"/>
  <c r="K36" i="3"/>
  <c r="L36" i="3"/>
  <c r="M36" i="3"/>
  <c r="N36" i="3"/>
  <c r="O36" i="3"/>
  <c r="D37" i="3"/>
  <c r="E37" i="3"/>
  <c r="F37" i="3"/>
  <c r="G37" i="3"/>
  <c r="H37" i="3"/>
  <c r="I37" i="3"/>
  <c r="J37" i="3"/>
  <c r="K37" i="3"/>
  <c r="L37" i="3"/>
  <c r="M37" i="3"/>
  <c r="N37" i="3"/>
  <c r="O37" i="3"/>
  <c r="D38" i="3"/>
  <c r="E38" i="3"/>
  <c r="F38" i="3"/>
  <c r="G38" i="3"/>
  <c r="H38" i="3"/>
  <c r="I38" i="3"/>
  <c r="J38" i="3"/>
  <c r="K38" i="3"/>
  <c r="L38" i="3"/>
  <c r="M38" i="3"/>
  <c r="N38" i="3"/>
  <c r="O38" i="3"/>
  <c r="D39" i="3"/>
  <c r="E39" i="3"/>
  <c r="F39" i="3"/>
  <c r="G39" i="3"/>
  <c r="H39" i="3"/>
  <c r="I39" i="3"/>
  <c r="J39" i="3"/>
  <c r="K39" i="3"/>
  <c r="L39" i="3"/>
  <c r="M39" i="3"/>
  <c r="N39" i="3"/>
  <c r="O39" i="3"/>
  <c r="D40" i="3"/>
  <c r="E40" i="3"/>
  <c r="F40" i="3"/>
  <c r="G40" i="3"/>
  <c r="H40" i="3"/>
  <c r="I40" i="3"/>
  <c r="J40" i="3"/>
  <c r="K40" i="3"/>
  <c r="L40" i="3"/>
  <c r="M40" i="3"/>
  <c r="N40" i="3"/>
  <c r="O40" i="3"/>
  <c r="D41" i="3"/>
  <c r="E41" i="3"/>
  <c r="F41" i="3"/>
  <c r="G41" i="3"/>
  <c r="H41" i="3"/>
  <c r="I41" i="3"/>
  <c r="J41" i="3"/>
  <c r="K41" i="3"/>
  <c r="L41" i="3"/>
  <c r="M41" i="3"/>
  <c r="N41" i="3"/>
  <c r="O41" i="3"/>
  <c r="D42" i="3"/>
  <c r="E42" i="3"/>
  <c r="F42" i="3"/>
  <c r="G42" i="3"/>
  <c r="H42" i="3"/>
  <c r="I42" i="3"/>
  <c r="J42" i="3"/>
  <c r="K42" i="3"/>
  <c r="L42" i="3"/>
  <c r="M42" i="3"/>
  <c r="N42" i="3"/>
  <c r="O42" i="3"/>
  <c r="D43" i="3"/>
  <c r="E43" i="3"/>
  <c r="F43" i="3"/>
  <c r="G43" i="3"/>
  <c r="H43" i="3"/>
  <c r="I43" i="3"/>
  <c r="J43" i="3"/>
  <c r="K43" i="3"/>
  <c r="L43" i="3"/>
  <c r="M43" i="3"/>
  <c r="N43" i="3"/>
  <c r="O43" i="3"/>
  <c r="D44" i="3"/>
  <c r="E44" i="3"/>
  <c r="F44" i="3"/>
  <c r="G44" i="3"/>
  <c r="H44" i="3"/>
  <c r="I44" i="3"/>
  <c r="J44" i="3"/>
  <c r="K44" i="3"/>
  <c r="L44" i="3"/>
  <c r="M44" i="3"/>
  <c r="N44" i="3"/>
  <c r="O44" i="3"/>
  <c r="D45" i="3"/>
  <c r="E45" i="3"/>
  <c r="F45" i="3"/>
  <c r="G45" i="3"/>
  <c r="H45" i="3"/>
  <c r="I45" i="3"/>
  <c r="J45" i="3"/>
  <c r="K45" i="3"/>
  <c r="L45" i="3"/>
  <c r="M45" i="3"/>
  <c r="N45" i="3"/>
  <c r="O45" i="3"/>
  <c r="D46" i="3"/>
  <c r="E46" i="3"/>
  <c r="F46" i="3"/>
  <c r="G46" i="3"/>
  <c r="H46" i="3"/>
  <c r="I46" i="3"/>
  <c r="J46" i="3"/>
  <c r="K46" i="3"/>
  <c r="L46" i="3"/>
  <c r="M46" i="3"/>
  <c r="N46" i="3"/>
  <c r="O46" i="3"/>
  <c r="D47" i="3"/>
  <c r="E47" i="3"/>
  <c r="F47" i="3"/>
  <c r="G47" i="3"/>
  <c r="H47" i="3"/>
  <c r="I47" i="3"/>
  <c r="J47" i="3"/>
  <c r="K47" i="3"/>
  <c r="L47" i="3"/>
  <c r="M47" i="3"/>
  <c r="N47" i="3"/>
  <c r="O47" i="3"/>
  <c r="D48" i="3"/>
  <c r="E48" i="3"/>
  <c r="F48" i="3"/>
  <c r="G48" i="3"/>
  <c r="H48" i="3"/>
  <c r="I48" i="3"/>
  <c r="J48" i="3"/>
  <c r="K48" i="3"/>
  <c r="L48" i="3"/>
  <c r="M48" i="3"/>
  <c r="N48" i="3"/>
  <c r="O48" i="3"/>
  <c r="D49" i="3"/>
  <c r="E49" i="3"/>
  <c r="F49" i="3"/>
  <c r="G49" i="3"/>
  <c r="H49" i="3"/>
  <c r="I49" i="3"/>
  <c r="J49" i="3"/>
  <c r="K49" i="3"/>
  <c r="L49" i="3"/>
  <c r="M49" i="3"/>
  <c r="N49" i="3"/>
  <c r="O49" i="3"/>
  <c r="D50" i="3"/>
  <c r="E50" i="3"/>
  <c r="F50" i="3"/>
  <c r="G50" i="3"/>
  <c r="H50" i="3"/>
  <c r="I50" i="3"/>
  <c r="J50" i="3"/>
  <c r="K50" i="3"/>
  <c r="L50" i="3"/>
  <c r="M50" i="3"/>
  <c r="N50" i="3"/>
  <c r="O50" i="3"/>
  <c r="D51" i="3"/>
  <c r="E51" i="3"/>
  <c r="F51" i="3"/>
  <c r="G51" i="3"/>
  <c r="H51" i="3"/>
  <c r="I51" i="3"/>
  <c r="J51" i="3"/>
  <c r="K51" i="3"/>
  <c r="L51" i="3"/>
  <c r="M51" i="3"/>
  <c r="N51" i="3"/>
  <c r="O51" i="3"/>
  <c r="D52" i="3"/>
  <c r="E52" i="3"/>
  <c r="F52" i="3"/>
  <c r="G52" i="3"/>
  <c r="H52" i="3"/>
  <c r="I52" i="3"/>
  <c r="J52" i="3"/>
  <c r="K52" i="3"/>
  <c r="L52" i="3"/>
  <c r="M52" i="3"/>
  <c r="N52" i="3"/>
  <c r="O52" i="3"/>
  <c r="D53" i="3"/>
  <c r="E53" i="3"/>
  <c r="F53" i="3"/>
  <c r="G53" i="3"/>
  <c r="H53" i="3"/>
  <c r="I53" i="3"/>
  <c r="J53" i="3"/>
  <c r="K53" i="3"/>
  <c r="L53" i="3"/>
  <c r="M53" i="3"/>
  <c r="N53" i="3"/>
  <c r="O53" i="3"/>
  <c r="D54" i="3"/>
  <c r="E54" i="3"/>
  <c r="F54" i="3"/>
  <c r="G54" i="3"/>
  <c r="H54" i="3"/>
  <c r="I54" i="3"/>
  <c r="J54" i="3"/>
  <c r="K54" i="3"/>
  <c r="L54" i="3"/>
  <c r="M54" i="3"/>
  <c r="N54" i="3"/>
  <c r="O54" i="3"/>
  <c r="D55" i="3"/>
  <c r="E55" i="3"/>
  <c r="F55" i="3"/>
  <c r="G55" i="3"/>
  <c r="H55" i="3"/>
  <c r="I55" i="3"/>
  <c r="J55" i="3"/>
  <c r="K55" i="3"/>
  <c r="L55" i="3"/>
  <c r="M55" i="3"/>
  <c r="N55" i="3"/>
  <c r="O55" i="3"/>
  <c r="D56" i="3"/>
  <c r="E56" i="3"/>
  <c r="F56" i="3"/>
  <c r="G56" i="3"/>
  <c r="H56" i="3"/>
  <c r="I56" i="3"/>
  <c r="J56" i="3"/>
  <c r="K56" i="3"/>
  <c r="L56" i="3"/>
  <c r="M56" i="3"/>
  <c r="N56" i="3"/>
  <c r="O56" i="3"/>
  <c r="D57" i="3"/>
  <c r="E57" i="3"/>
  <c r="F57" i="3"/>
  <c r="G57" i="3"/>
  <c r="H57" i="3"/>
  <c r="I57" i="3"/>
  <c r="J57" i="3"/>
  <c r="K57" i="3"/>
  <c r="L57" i="3"/>
  <c r="M57" i="3"/>
  <c r="N57" i="3"/>
  <c r="O57" i="3"/>
  <c r="D58" i="3"/>
  <c r="E58" i="3"/>
  <c r="F58" i="3"/>
  <c r="G58" i="3"/>
  <c r="H58" i="3"/>
  <c r="I58" i="3"/>
  <c r="J58" i="3"/>
  <c r="K58" i="3"/>
  <c r="L58" i="3"/>
  <c r="M58" i="3"/>
  <c r="N58" i="3"/>
  <c r="O58" i="3"/>
  <c r="D59" i="3"/>
  <c r="E59" i="3"/>
  <c r="F59" i="3"/>
  <c r="G59" i="3"/>
  <c r="H59" i="3"/>
  <c r="I59" i="3"/>
  <c r="J59" i="3"/>
  <c r="K59" i="3"/>
  <c r="L59" i="3"/>
  <c r="M59" i="3"/>
  <c r="N59" i="3"/>
  <c r="O59" i="3"/>
  <c r="D60" i="3"/>
  <c r="E60" i="3"/>
  <c r="F60" i="3"/>
  <c r="G60" i="3"/>
  <c r="H60" i="3"/>
  <c r="I60" i="3"/>
  <c r="J60" i="3"/>
  <c r="K60" i="3"/>
  <c r="L60" i="3"/>
  <c r="M60" i="3"/>
  <c r="N60" i="3"/>
  <c r="O60" i="3"/>
  <c r="D61" i="3"/>
  <c r="E61" i="3"/>
  <c r="F61" i="3"/>
  <c r="G61" i="3"/>
  <c r="H61" i="3"/>
  <c r="I61" i="3"/>
  <c r="J61" i="3"/>
  <c r="K61" i="3"/>
  <c r="L61" i="3"/>
  <c r="M61" i="3"/>
  <c r="N61" i="3"/>
  <c r="O61" i="3"/>
  <c r="D62" i="3"/>
  <c r="E62" i="3"/>
  <c r="F62" i="3"/>
  <c r="G62" i="3"/>
  <c r="H62" i="3"/>
  <c r="I62" i="3"/>
  <c r="J62" i="3"/>
  <c r="K62" i="3"/>
  <c r="L62" i="3"/>
  <c r="M62" i="3"/>
  <c r="N62" i="3"/>
  <c r="O62" i="3"/>
  <c r="D63" i="3"/>
  <c r="E63" i="3"/>
  <c r="F63" i="3"/>
  <c r="G63" i="3"/>
  <c r="H63" i="3"/>
  <c r="I63" i="3"/>
  <c r="J63" i="3"/>
  <c r="K63" i="3"/>
  <c r="L63" i="3"/>
  <c r="M63" i="3"/>
  <c r="N63" i="3"/>
  <c r="O63" i="3"/>
  <c r="D64" i="3"/>
  <c r="E64" i="3"/>
  <c r="F64" i="3"/>
  <c r="G64" i="3"/>
  <c r="H64" i="3"/>
  <c r="I64" i="3"/>
  <c r="J64" i="3"/>
  <c r="K64" i="3"/>
  <c r="L64" i="3"/>
  <c r="M64" i="3"/>
  <c r="N64" i="3"/>
  <c r="O64" i="3"/>
  <c r="D65" i="3"/>
  <c r="E65" i="3"/>
  <c r="F65" i="3"/>
  <c r="G65" i="3"/>
  <c r="H65" i="3"/>
  <c r="I65" i="3"/>
  <c r="J65" i="3"/>
  <c r="K65" i="3"/>
  <c r="L65" i="3"/>
  <c r="M65" i="3"/>
  <c r="N65" i="3"/>
  <c r="O65" i="3"/>
  <c r="D66" i="3"/>
  <c r="E66" i="3"/>
  <c r="F66" i="3"/>
  <c r="G66" i="3"/>
  <c r="H66" i="3"/>
  <c r="I66" i="3"/>
  <c r="J66" i="3"/>
  <c r="K66" i="3"/>
  <c r="L66" i="3"/>
  <c r="M66" i="3"/>
  <c r="N66" i="3"/>
  <c r="O66" i="3"/>
  <c r="D67" i="3"/>
  <c r="E67" i="3"/>
  <c r="F67" i="3"/>
  <c r="G67" i="3"/>
  <c r="H67" i="3"/>
  <c r="I67" i="3"/>
  <c r="J67" i="3"/>
  <c r="K67" i="3"/>
  <c r="L67" i="3"/>
  <c r="M67" i="3"/>
  <c r="N67" i="3"/>
  <c r="O67" i="3"/>
  <c r="D68" i="3"/>
  <c r="E68" i="3"/>
  <c r="F68" i="3"/>
  <c r="G68" i="3"/>
  <c r="H68" i="3"/>
  <c r="I68" i="3"/>
  <c r="J68" i="3"/>
  <c r="K68" i="3"/>
  <c r="L68" i="3"/>
  <c r="M68" i="3"/>
  <c r="N68" i="3"/>
  <c r="O68" i="3"/>
  <c r="D69" i="3"/>
  <c r="E69" i="3"/>
  <c r="F69" i="3"/>
  <c r="G69" i="3"/>
  <c r="H69" i="3"/>
  <c r="I69" i="3"/>
  <c r="J69" i="3"/>
  <c r="K69" i="3"/>
  <c r="L69" i="3"/>
  <c r="M69" i="3"/>
  <c r="N69" i="3"/>
  <c r="O69" i="3"/>
  <c r="D70" i="3"/>
  <c r="E70" i="3"/>
  <c r="F70" i="3"/>
  <c r="G70" i="3"/>
  <c r="H70" i="3"/>
  <c r="I70" i="3"/>
  <c r="J70" i="3"/>
  <c r="K70" i="3"/>
  <c r="L70" i="3"/>
  <c r="M70" i="3"/>
  <c r="N70" i="3"/>
  <c r="O70" i="3"/>
  <c r="D71" i="3"/>
  <c r="E71" i="3"/>
  <c r="F71" i="3"/>
  <c r="G71" i="3"/>
  <c r="H71" i="3"/>
  <c r="I71" i="3"/>
  <c r="J71" i="3"/>
  <c r="K71" i="3"/>
  <c r="L71" i="3"/>
  <c r="M71" i="3"/>
  <c r="N71" i="3"/>
  <c r="O71" i="3"/>
  <c r="D72" i="3"/>
  <c r="E72" i="3"/>
  <c r="F72" i="3"/>
  <c r="G72" i="3"/>
  <c r="H72" i="3"/>
  <c r="I72" i="3"/>
  <c r="J72" i="3"/>
  <c r="K72" i="3"/>
  <c r="L72" i="3"/>
  <c r="M72" i="3"/>
  <c r="N72" i="3"/>
  <c r="O72" i="3"/>
  <c r="D73" i="3"/>
  <c r="E73" i="3"/>
  <c r="F73" i="3"/>
  <c r="G73" i="3"/>
  <c r="H73" i="3"/>
  <c r="I73" i="3"/>
  <c r="J73" i="3"/>
  <c r="K73" i="3"/>
  <c r="L73" i="3"/>
  <c r="M73" i="3"/>
  <c r="N73" i="3"/>
  <c r="O73" i="3"/>
  <c r="D74" i="3"/>
  <c r="E74" i="3"/>
  <c r="F74" i="3"/>
  <c r="G74" i="3"/>
  <c r="H74" i="3"/>
  <c r="I74" i="3"/>
  <c r="J74" i="3"/>
  <c r="K74" i="3"/>
  <c r="L74" i="3"/>
  <c r="M74" i="3"/>
  <c r="N74" i="3"/>
  <c r="O74" i="3"/>
  <c r="D75" i="3"/>
  <c r="E75" i="3"/>
  <c r="F75" i="3"/>
  <c r="G75" i="3"/>
  <c r="H75" i="3"/>
  <c r="I75" i="3"/>
  <c r="J75" i="3"/>
  <c r="K75" i="3"/>
  <c r="L75" i="3"/>
  <c r="M75" i="3"/>
  <c r="N75" i="3"/>
  <c r="O75" i="3"/>
  <c r="D76" i="3"/>
  <c r="E76" i="3"/>
  <c r="F76" i="3"/>
  <c r="G76" i="3"/>
  <c r="H76" i="3"/>
  <c r="I76" i="3"/>
  <c r="J76" i="3"/>
  <c r="K76" i="3"/>
  <c r="L76" i="3"/>
  <c r="M76" i="3"/>
  <c r="N76" i="3"/>
  <c r="O76" i="3"/>
  <c r="D77" i="3"/>
  <c r="E77" i="3"/>
  <c r="F77" i="3"/>
  <c r="G77" i="3"/>
  <c r="H77" i="3"/>
  <c r="I77" i="3"/>
  <c r="J77" i="3"/>
  <c r="K77" i="3"/>
  <c r="L77" i="3"/>
  <c r="M77" i="3"/>
  <c r="N77" i="3"/>
  <c r="O77" i="3"/>
  <c r="D78" i="3"/>
  <c r="E78" i="3"/>
  <c r="F78" i="3"/>
  <c r="G78" i="3"/>
  <c r="H78" i="3"/>
  <c r="I78" i="3"/>
  <c r="J78" i="3"/>
  <c r="K78" i="3"/>
  <c r="L78" i="3"/>
  <c r="M78" i="3"/>
  <c r="N78" i="3"/>
  <c r="O78" i="3"/>
  <c r="D79" i="3"/>
  <c r="E79" i="3"/>
  <c r="F79" i="3"/>
  <c r="G79" i="3"/>
  <c r="H79" i="3"/>
  <c r="I79" i="3"/>
  <c r="J79" i="3"/>
  <c r="K79" i="3"/>
  <c r="L79" i="3"/>
  <c r="M79" i="3"/>
  <c r="N79" i="3"/>
  <c r="O79" i="3"/>
  <c r="D80" i="3"/>
  <c r="E80" i="3"/>
  <c r="F80" i="3"/>
  <c r="G80" i="3"/>
  <c r="H80" i="3"/>
  <c r="I80" i="3"/>
  <c r="J80" i="3"/>
  <c r="K80" i="3"/>
  <c r="L80" i="3"/>
  <c r="M80" i="3"/>
  <c r="N80" i="3"/>
  <c r="O80" i="3"/>
  <c r="D81" i="3"/>
  <c r="E81" i="3"/>
  <c r="F81" i="3"/>
  <c r="G81" i="3"/>
  <c r="H81" i="3"/>
  <c r="I81" i="3"/>
  <c r="J81" i="3"/>
  <c r="K81" i="3"/>
  <c r="L81" i="3"/>
  <c r="M81" i="3"/>
  <c r="N81" i="3"/>
  <c r="O81" i="3"/>
  <c r="D82" i="3"/>
  <c r="E82" i="3"/>
  <c r="F82" i="3"/>
  <c r="G82" i="3"/>
  <c r="H82" i="3"/>
  <c r="I82" i="3"/>
  <c r="J82" i="3"/>
  <c r="K82" i="3"/>
  <c r="L82" i="3"/>
  <c r="M82" i="3"/>
  <c r="N82" i="3"/>
  <c r="O82" i="3"/>
  <c r="D83" i="3"/>
  <c r="E83" i="3"/>
  <c r="F83" i="3"/>
  <c r="G83" i="3"/>
  <c r="H83" i="3"/>
  <c r="I83" i="3"/>
  <c r="J83" i="3"/>
  <c r="K83" i="3"/>
  <c r="L83" i="3"/>
  <c r="M83" i="3"/>
  <c r="N83" i="3"/>
  <c r="O83" i="3"/>
  <c r="D84" i="3"/>
  <c r="E84" i="3"/>
  <c r="F84" i="3"/>
  <c r="G84" i="3"/>
  <c r="H84" i="3"/>
  <c r="I84" i="3"/>
  <c r="J84" i="3"/>
  <c r="K84" i="3"/>
  <c r="L84" i="3"/>
  <c r="M84" i="3"/>
  <c r="N84" i="3"/>
  <c r="O84" i="3"/>
  <c r="D85" i="3"/>
  <c r="E85" i="3"/>
  <c r="F85" i="3"/>
  <c r="G85" i="3"/>
  <c r="H85" i="3"/>
  <c r="I85" i="3"/>
  <c r="J85" i="3"/>
  <c r="K85" i="3"/>
  <c r="L85" i="3"/>
  <c r="M85" i="3"/>
  <c r="N85" i="3"/>
  <c r="O85" i="3"/>
  <c r="D86" i="3"/>
  <c r="E86" i="3"/>
  <c r="F86" i="3"/>
  <c r="G86" i="3"/>
  <c r="H86" i="3"/>
  <c r="I86" i="3"/>
  <c r="J86" i="3"/>
  <c r="K86" i="3"/>
  <c r="L86" i="3"/>
  <c r="M86" i="3"/>
  <c r="N86" i="3"/>
  <c r="O86" i="3"/>
  <c r="D87" i="3"/>
  <c r="E87" i="3"/>
  <c r="F87" i="3"/>
  <c r="G87" i="3"/>
  <c r="H87" i="3"/>
  <c r="I87" i="3"/>
  <c r="J87" i="3"/>
  <c r="K87" i="3"/>
  <c r="L87" i="3"/>
  <c r="M87" i="3"/>
  <c r="N87" i="3"/>
  <c r="O87" i="3"/>
  <c r="D88" i="3"/>
  <c r="E88" i="3"/>
  <c r="F88" i="3"/>
  <c r="G88" i="3"/>
  <c r="H88" i="3"/>
  <c r="I88" i="3"/>
  <c r="J88" i="3"/>
  <c r="K88" i="3"/>
  <c r="L88" i="3"/>
  <c r="M88" i="3"/>
  <c r="N88" i="3"/>
  <c r="O88" i="3"/>
  <c r="D89" i="3"/>
  <c r="E89" i="3"/>
  <c r="F89" i="3"/>
  <c r="G89" i="3"/>
  <c r="H89" i="3"/>
  <c r="I89" i="3"/>
  <c r="J89" i="3"/>
  <c r="K89" i="3"/>
  <c r="L89" i="3"/>
  <c r="M89" i="3"/>
  <c r="N89" i="3"/>
  <c r="O89" i="3"/>
  <c r="D90" i="3"/>
  <c r="E90" i="3"/>
  <c r="F90" i="3"/>
  <c r="G90" i="3"/>
  <c r="H90" i="3"/>
  <c r="I90" i="3"/>
  <c r="J90" i="3"/>
  <c r="K90" i="3"/>
  <c r="L90" i="3"/>
  <c r="M90" i="3"/>
  <c r="N90" i="3"/>
  <c r="O90" i="3"/>
  <c r="D91" i="3"/>
  <c r="E91" i="3"/>
  <c r="F91" i="3"/>
  <c r="G91" i="3"/>
  <c r="H91" i="3"/>
  <c r="I91" i="3"/>
  <c r="J91" i="3"/>
  <c r="K91" i="3"/>
  <c r="L91" i="3"/>
  <c r="M91" i="3"/>
  <c r="N91" i="3"/>
  <c r="O91" i="3"/>
  <c r="D92" i="3"/>
  <c r="E92" i="3"/>
  <c r="F92" i="3"/>
  <c r="G92" i="3"/>
  <c r="H92" i="3"/>
  <c r="I92" i="3"/>
  <c r="J92" i="3"/>
  <c r="K92" i="3"/>
  <c r="L92" i="3"/>
  <c r="M92" i="3"/>
  <c r="N92" i="3"/>
  <c r="O92" i="3"/>
  <c r="D93" i="3"/>
  <c r="E93" i="3"/>
  <c r="F93" i="3"/>
  <c r="G93" i="3"/>
  <c r="H93" i="3"/>
  <c r="I93" i="3"/>
  <c r="J93" i="3"/>
  <c r="K93" i="3"/>
  <c r="L93" i="3"/>
  <c r="M93" i="3"/>
  <c r="N93" i="3"/>
  <c r="O93" i="3"/>
  <c r="D94" i="3"/>
  <c r="E94" i="3"/>
  <c r="F94" i="3"/>
  <c r="G94" i="3"/>
  <c r="H94" i="3"/>
  <c r="I94" i="3"/>
  <c r="J94" i="3"/>
  <c r="K94" i="3"/>
  <c r="L94" i="3"/>
  <c r="M94" i="3"/>
  <c r="N94" i="3"/>
  <c r="O94" i="3"/>
  <c r="D95" i="3"/>
  <c r="E95" i="3"/>
  <c r="F95" i="3"/>
  <c r="G95" i="3"/>
  <c r="H95" i="3"/>
  <c r="I95" i="3"/>
  <c r="J95" i="3"/>
  <c r="K95" i="3"/>
  <c r="L95" i="3"/>
  <c r="M95" i="3"/>
  <c r="N95" i="3"/>
  <c r="O95" i="3"/>
  <c r="D96" i="3"/>
  <c r="E96" i="3"/>
  <c r="F96" i="3"/>
  <c r="G96" i="3"/>
  <c r="H96" i="3"/>
  <c r="I96" i="3"/>
  <c r="J96" i="3"/>
  <c r="K96" i="3"/>
  <c r="L96" i="3"/>
  <c r="M96" i="3"/>
  <c r="N96" i="3"/>
  <c r="O96" i="3"/>
  <c r="D97" i="3"/>
  <c r="E97" i="3"/>
  <c r="F97" i="3"/>
  <c r="G97" i="3"/>
  <c r="H97" i="3"/>
  <c r="I97" i="3"/>
  <c r="J97" i="3"/>
  <c r="K97" i="3"/>
  <c r="L97" i="3"/>
  <c r="M97" i="3"/>
  <c r="N97" i="3"/>
  <c r="O97" i="3"/>
  <c r="D98" i="3"/>
  <c r="E98" i="3"/>
  <c r="F98" i="3"/>
  <c r="G98" i="3"/>
  <c r="H98" i="3"/>
  <c r="I98" i="3"/>
  <c r="J98" i="3"/>
  <c r="K98" i="3"/>
  <c r="L98" i="3"/>
  <c r="M98" i="3"/>
  <c r="N98" i="3"/>
  <c r="O98" i="3"/>
  <c r="D99" i="3"/>
  <c r="E99" i="3"/>
  <c r="F99" i="3"/>
  <c r="G99" i="3"/>
  <c r="H99" i="3"/>
  <c r="I99" i="3"/>
  <c r="J99" i="3"/>
  <c r="K99" i="3"/>
  <c r="L99" i="3"/>
  <c r="M99" i="3"/>
  <c r="N99" i="3"/>
  <c r="O99" i="3"/>
  <c r="D100" i="3"/>
  <c r="E100" i="3"/>
  <c r="F100" i="3"/>
  <c r="G100" i="3"/>
  <c r="H100" i="3"/>
  <c r="I100" i="3"/>
  <c r="J100" i="3"/>
  <c r="K100" i="3"/>
  <c r="L100" i="3"/>
  <c r="M100" i="3"/>
  <c r="N100" i="3"/>
  <c r="O100" i="3"/>
  <c r="D101" i="3"/>
  <c r="E101" i="3"/>
  <c r="F101" i="3"/>
  <c r="G101" i="3"/>
  <c r="H101" i="3"/>
  <c r="I101" i="3"/>
  <c r="J101" i="3"/>
  <c r="K101" i="3"/>
  <c r="L101" i="3"/>
  <c r="M101" i="3"/>
  <c r="N101" i="3"/>
  <c r="O101" i="3"/>
  <c r="D102" i="3"/>
  <c r="E102" i="3"/>
  <c r="F102" i="3"/>
  <c r="G102" i="3"/>
  <c r="H102" i="3"/>
  <c r="I102" i="3"/>
  <c r="J102" i="3"/>
  <c r="K102" i="3"/>
  <c r="L102" i="3"/>
  <c r="M102" i="3"/>
  <c r="N102" i="3"/>
  <c r="O102" i="3"/>
  <c r="D103" i="3"/>
  <c r="E103" i="3"/>
  <c r="F103" i="3"/>
  <c r="G103" i="3"/>
  <c r="H103" i="3"/>
  <c r="I103" i="3"/>
  <c r="J103" i="3"/>
  <c r="K103" i="3"/>
  <c r="L103" i="3"/>
  <c r="M103" i="3"/>
  <c r="N103" i="3"/>
  <c r="O103" i="3"/>
  <c r="D104" i="3"/>
  <c r="E104" i="3"/>
  <c r="F104" i="3"/>
  <c r="G104" i="3"/>
  <c r="H104" i="3"/>
  <c r="I104" i="3"/>
  <c r="J104" i="3"/>
  <c r="K104" i="3"/>
  <c r="L104" i="3"/>
  <c r="M104" i="3"/>
  <c r="N104" i="3"/>
  <c r="O104" i="3"/>
  <c r="D105" i="3"/>
  <c r="E105" i="3"/>
  <c r="F105" i="3"/>
  <c r="G105" i="3"/>
  <c r="H105" i="3"/>
  <c r="I105" i="3"/>
  <c r="J105" i="3"/>
  <c r="K105" i="3"/>
  <c r="L105" i="3"/>
  <c r="M105" i="3"/>
  <c r="N105" i="3"/>
  <c r="O105" i="3"/>
  <c r="D106" i="3"/>
  <c r="E106" i="3"/>
  <c r="F106" i="3"/>
  <c r="G106" i="3"/>
  <c r="H106" i="3"/>
  <c r="I106" i="3"/>
  <c r="J106" i="3"/>
  <c r="K106" i="3"/>
  <c r="L106" i="3"/>
  <c r="M106" i="3"/>
  <c r="N106" i="3"/>
  <c r="O106" i="3"/>
  <c r="D107" i="3"/>
  <c r="E107" i="3"/>
  <c r="F107" i="3"/>
  <c r="G107" i="3"/>
  <c r="H107" i="3"/>
  <c r="I107" i="3"/>
  <c r="J107" i="3"/>
  <c r="K107" i="3"/>
  <c r="L107" i="3"/>
  <c r="M107" i="3"/>
  <c r="N107" i="3"/>
  <c r="O107" i="3"/>
  <c r="D108" i="3"/>
  <c r="E108" i="3"/>
  <c r="F108" i="3"/>
  <c r="G108" i="3"/>
  <c r="H108" i="3"/>
  <c r="I108" i="3"/>
  <c r="J108" i="3"/>
  <c r="K108" i="3"/>
  <c r="L108" i="3"/>
  <c r="M108" i="3"/>
  <c r="N108" i="3"/>
  <c r="O108" i="3"/>
  <c r="D109" i="3"/>
  <c r="E109" i="3"/>
  <c r="F109" i="3"/>
  <c r="G109" i="3"/>
  <c r="H109" i="3"/>
  <c r="I109" i="3"/>
  <c r="J109" i="3"/>
  <c r="K109" i="3"/>
  <c r="L109" i="3"/>
  <c r="M109" i="3"/>
  <c r="N109" i="3"/>
  <c r="O109" i="3"/>
  <c r="D110" i="3"/>
  <c r="E110" i="3"/>
  <c r="F110" i="3"/>
  <c r="G110" i="3"/>
  <c r="H110" i="3"/>
  <c r="I110" i="3"/>
  <c r="J110" i="3"/>
  <c r="K110" i="3"/>
  <c r="L110" i="3"/>
  <c r="M110" i="3"/>
  <c r="N110" i="3"/>
  <c r="O110" i="3"/>
  <c r="D111" i="3"/>
  <c r="E111" i="3"/>
  <c r="F111" i="3"/>
  <c r="G111" i="3"/>
  <c r="H111" i="3"/>
  <c r="I111" i="3"/>
  <c r="J111" i="3"/>
  <c r="K111" i="3"/>
  <c r="L111" i="3"/>
  <c r="M111" i="3"/>
  <c r="N111" i="3"/>
  <c r="O111" i="3"/>
  <c r="D112" i="3"/>
  <c r="E112" i="3"/>
  <c r="F112" i="3"/>
  <c r="G112" i="3"/>
  <c r="H112" i="3"/>
  <c r="I112" i="3"/>
  <c r="J112" i="3"/>
  <c r="K112" i="3"/>
  <c r="L112" i="3"/>
  <c r="M112" i="3"/>
  <c r="N112" i="3"/>
  <c r="O112" i="3"/>
  <c r="D113" i="3"/>
  <c r="E113" i="3"/>
  <c r="F113" i="3"/>
  <c r="G113" i="3"/>
  <c r="H113" i="3"/>
  <c r="I113" i="3"/>
  <c r="J113" i="3"/>
  <c r="K113" i="3"/>
  <c r="L113" i="3"/>
  <c r="M113" i="3"/>
  <c r="N113" i="3"/>
  <c r="O113" i="3"/>
  <c r="D114" i="3"/>
  <c r="E114" i="3"/>
  <c r="F114" i="3"/>
  <c r="G114" i="3"/>
  <c r="H114" i="3"/>
  <c r="I114" i="3"/>
  <c r="J114" i="3"/>
  <c r="K114" i="3"/>
  <c r="L114" i="3"/>
  <c r="M114" i="3"/>
  <c r="N114" i="3"/>
  <c r="O114" i="3"/>
  <c r="D115" i="3"/>
  <c r="E115" i="3"/>
  <c r="F115" i="3"/>
  <c r="G115" i="3"/>
  <c r="H115" i="3"/>
  <c r="I115" i="3"/>
  <c r="J115" i="3"/>
  <c r="K115" i="3"/>
  <c r="L115" i="3"/>
  <c r="M115" i="3"/>
  <c r="N115" i="3"/>
  <c r="O115" i="3"/>
  <c r="D116" i="3"/>
  <c r="E116" i="3"/>
  <c r="F116" i="3"/>
  <c r="G116" i="3"/>
  <c r="H116" i="3"/>
  <c r="I116" i="3"/>
  <c r="J116" i="3"/>
  <c r="K116" i="3"/>
  <c r="L116" i="3"/>
  <c r="M116" i="3"/>
  <c r="N116" i="3"/>
  <c r="O116" i="3"/>
  <c r="D117" i="3"/>
  <c r="E117" i="3"/>
  <c r="F117" i="3"/>
  <c r="G117" i="3"/>
  <c r="H117" i="3"/>
  <c r="I117" i="3"/>
  <c r="J117" i="3"/>
  <c r="K117" i="3"/>
  <c r="L117" i="3"/>
  <c r="M117" i="3"/>
  <c r="N117" i="3"/>
  <c r="O117" i="3"/>
  <c r="E6" i="1"/>
  <c r="B11" i="1" s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B11" i="4"/>
  <c r="C11" i="4"/>
  <c r="D11" i="4"/>
  <c r="E11" i="4"/>
  <c r="B12" i="4"/>
  <c r="C12" i="4"/>
  <c r="D12" i="4"/>
  <c r="E12" i="4"/>
  <c r="B13" i="4"/>
  <c r="C13" i="4"/>
  <c r="D13" i="4"/>
  <c r="E13" i="4"/>
  <c r="B14" i="4"/>
  <c r="C14" i="4"/>
  <c r="D14" i="4"/>
  <c r="E14" i="4"/>
  <c r="B15" i="4"/>
  <c r="C15" i="4"/>
  <c r="D15" i="4"/>
  <c r="E15" i="4"/>
  <c r="B16" i="4"/>
  <c r="C16" i="4"/>
  <c r="D16" i="4"/>
  <c r="E16" i="4"/>
  <c r="B17" i="4"/>
  <c r="C17" i="4"/>
  <c r="D17" i="4"/>
  <c r="E17" i="4"/>
  <c r="B18" i="4"/>
  <c r="C18" i="4"/>
  <c r="D18" i="4"/>
  <c r="E18" i="4"/>
  <c r="B19" i="4"/>
  <c r="C19" i="4"/>
  <c r="D19" i="4"/>
  <c r="E19" i="4"/>
  <c r="B20" i="4"/>
  <c r="C20" i="4"/>
  <c r="D20" i="4"/>
  <c r="E20" i="4"/>
  <c r="B21" i="4"/>
  <c r="C21" i="4"/>
  <c r="D21" i="4"/>
  <c r="E21" i="4"/>
  <c r="B22" i="4"/>
  <c r="C22" i="4"/>
  <c r="D22" i="4"/>
  <c r="E22" i="4"/>
  <c r="B23" i="4"/>
  <c r="C23" i="4"/>
  <c r="D23" i="4"/>
  <c r="E23" i="4"/>
  <c r="B24" i="4"/>
  <c r="C24" i="4"/>
  <c r="D24" i="4"/>
  <c r="E24" i="4"/>
  <c r="B25" i="4"/>
  <c r="C25" i="4"/>
  <c r="D25" i="4"/>
  <c r="E25" i="4"/>
  <c r="B26" i="4"/>
  <c r="C26" i="4"/>
  <c r="D26" i="4"/>
  <c r="E26" i="4"/>
  <c r="B27" i="4"/>
  <c r="C27" i="4"/>
  <c r="D27" i="4"/>
  <c r="E27" i="4"/>
  <c r="B28" i="4"/>
  <c r="C28" i="4"/>
  <c r="D28" i="4"/>
  <c r="E28" i="4"/>
  <c r="B29" i="4"/>
  <c r="C29" i="4"/>
  <c r="D29" i="4"/>
  <c r="E29" i="4"/>
  <c r="B30" i="4"/>
  <c r="C30" i="4"/>
  <c r="D30" i="4"/>
  <c r="E30" i="4"/>
  <c r="B31" i="4"/>
  <c r="C31" i="4"/>
  <c r="D31" i="4"/>
  <c r="E31" i="4"/>
  <c r="B32" i="4"/>
  <c r="C32" i="4"/>
  <c r="D32" i="4"/>
  <c r="E32" i="4"/>
  <c r="B33" i="4"/>
  <c r="C33" i="4"/>
  <c r="D33" i="4"/>
  <c r="E33" i="4"/>
  <c r="B34" i="4"/>
  <c r="C34" i="4"/>
  <c r="D34" i="4"/>
  <c r="E34" i="4"/>
  <c r="B35" i="4"/>
  <c r="C35" i="4"/>
  <c r="D35" i="4"/>
  <c r="E35" i="4"/>
  <c r="B36" i="4"/>
  <c r="C36" i="4"/>
  <c r="D36" i="4"/>
  <c r="E36" i="4"/>
  <c r="B37" i="4"/>
  <c r="C37" i="4"/>
  <c r="D37" i="4"/>
  <c r="E37" i="4"/>
  <c r="B38" i="4"/>
  <c r="C38" i="4"/>
  <c r="D38" i="4"/>
  <c r="E38" i="4"/>
  <c r="B39" i="4"/>
  <c r="C39" i="4"/>
  <c r="D39" i="4"/>
  <c r="E39" i="4"/>
  <c r="B40" i="4"/>
  <c r="C40" i="4"/>
  <c r="D40" i="4"/>
  <c r="E40" i="4"/>
  <c r="B41" i="4"/>
  <c r="C41" i="4"/>
  <c r="D41" i="4"/>
  <c r="E41" i="4"/>
  <c r="B42" i="4"/>
  <c r="C42" i="4"/>
  <c r="D42" i="4"/>
  <c r="E42" i="4"/>
  <c r="B43" i="4"/>
  <c r="C43" i="4"/>
  <c r="D43" i="4"/>
  <c r="E43" i="4"/>
  <c r="B44" i="4"/>
  <c r="C44" i="4"/>
  <c r="D44" i="4"/>
  <c r="E44" i="4"/>
  <c r="B45" i="4"/>
  <c r="C45" i="4"/>
  <c r="D45" i="4"/>
  <c r="E45" i="4"/>
  <c r="B46" i="4"/>
  <c r="C46" i="4"/>
  <c r="D46" i="4"/>
  <c r="E46" i="4"/>
  <c r="B47" i="4"/>
  <c r="C47" i="4"/>
  <c r="D47" i="4"/>
  <c r="E47" i="4"/>
  <c r="B48" i="4"/>
  <c r="C48" i="4"/>
  <c r="D48" i="4"/>
  <c r="E48" i="4"/>
  <c r="B49" i="4"/>
  <c r="C49" i="4"/>
  <c r="D49" i="4"/>
  <c r="E49" i="4"/>
  <c r="B50" i="4"/>
  <c r="C50" i="4"/>
  <c r="D50" i="4"/>
  <c r="E50" i="4"/>
  <c r="B51" i="4"/>
  <c r="C51" i="4"/>
  <c r="D51" i="4"/>
  <c r="E51" i="4"/>
  <c r="B52" i="4"/>
  <c r="C52" i="4"/>
  <c r="D52" i="4"/>
  <c r="E52" i="4"/>
  <c r="B53" i="4"/>
  <c r="C53" i="4"/>
  <c r="D53" i="4"/>
  <c r="E53" i="4"/>
  <c r="B54" i="4"/>
  <c r="C54" i="4"/>
  <c r="D54" i="4"/>
  <c r="E54" i="4"/>
  <c r="B55" i="4"/>
  <c r="C55" i="4"/>
  <c r="D55" i="4"/>
  <c r="E55" i="4"/>
  <c r="B56" i="4"/>
  <c r="C56" i="4"/>
  <c r="D56" i="4"/>
  <c r="E56" i="4"/>
  <c r="B57" i="4"/>
  <c r="C57" i="4"/>
  <c r="D57" i="4"/>
  <c r="E57" i="4"/>
  <c r="B58" i="4"/>
  <c r="C58" i="4"/>
  <c r="D58" i="4"/>
  <c r="E58" i="4"/>
  <c r="B59" i="4"/>
  <c r="C59" i="4"/>
  <c r="D59" i="4"/>
  <c r="E59" i="4"/>
  <c r="B60" i="4"/>
  <c r="C60" i="4"/>
  <c r="D60" i="4"/>
  <c r="E60" i="4"/>
  <c r="B61" i="4"/>
  <c r="C61" i="4"/>
  <c r="D61" i="4"/>
  <c r="E61" i="4"/>
  <c r="B62" i="4"/>
  <c r="C62" i="4"/>
  <c r="D62" i="4"/>
  <c r="E62" i="4"/>
  <c r="B63" i="4"/>
  <c r="C63" i="4"/>
  <c r="D63" i="4"/>
  <c r="E63" i="4"/>
  <c r="B64" i="4"/>
  <c r="C64" i="4"/>
  <c r="D64" i="4"/>
  <c r="E64" i="4"/>
  <c r="B65" i="4"/>
  <c r="C65" i="4"/>
  <c r="D65" i="4"/>
  <c r="E65" i="4"/>
  <c r="B66" i="4"/>
  <c r="C66" i="4"/>
  <c r="D66" i="4"/>
  <c r="E66" i="4"/>
  <c r="B67" i="4"/>
  <c r="C67" i="4"/>
  <c r="D67" i="4"/>
  <c r="E67" i="4"/>
  <c r="B68" i="4"/>
  <c r="C68" i="4"/>
  <c r="D68" i="4"/>
  <c r="E68" i="4"/>
  <c r="B69" i="4"/>
  <c r="C69" i="4"/>
  <c r="D69" i="4"/>
  <c r="E69" i="4"/>
  <c r="B70" i="4"/>
  <c r="C70" i="4"/>
  <c r="D70" i="4"/>
  <c r="E70" i="4"/>
  <c r="B71" i="4"/>
  <c r="C71" i="4"/>
  <c r="D71" i="4"/>
  <c r="E71" i="4"/>
  <c r="B72" i="4"/>
  <c r="C72" i="4"/>
  <c r="D72" i="4"/>
  <c r="E72" i="4"/>
  <c r="B73" i="4"/>
  <c r="C73" i="4"/>
  <c r="D73" i="4"/>
  <c r="E73" i="4"/>
  <c r="B74" i="4"/>
  <c r="C74" i="4"/>
  <c r="D74" i="4"/>
  <c r="E74" i="4"/>
  <c r="B75" i="4"/>
  <c r="C75" i="4"/>
  <c r="D75" i="4"/>
  <c r="E75" i="4"/>
  <c r="B76" i="4"/>
  <c r="C76" i="4"/>
  <c r="D76" i="4"/>
  <c r="E76" i="4"/>
  <c r="B77" i="4"/>
  <c r="C77" i="4"/>
  <c r="D77" i="4"/>
  <c r="E77" i="4"/>
  <c r="B78" i="4"/>
  <c r="C78" i="4"/>
  <c r="D78" i="4"/>
  <c r="E78" i="4"/>
  <c r="B79" i="4"/>
  <c r="C79" i="4"/>
  <c r="D79" i="4"/>
  <c r="E79" i="4"/>
  <c r="B80" i="4"/>
  <c r="C80" i="4"/>
  <c r="D80" i="4"/>
  <c r="E80" i="4"/>
  <c r="B81" i="4"/>
  <c r="C81" i="4"/>
  <c r="D81" i="4"/>
  <c r="E81" i="4"/>
  <c r="B82" i="4"/>
  <c r="C82" i="4"/>
  <c r="D82" i="4"/>
  <c r="E82" i="4"/>
  <c r="B83" i="4"/>
  <c r="C83" i="4"/>
  <c r="D83" i="4"/>
  <c r="E83" i="4"/>
  <c r="B84" i="4"/>
  <c r="C84" i="4"/>
  <c r="D84" i="4"/>
  <c r="E84" i="4"/>
  <c r="B85" i="4"/>
  <c r="C85" i="4"/>
  <c r="D85" i="4"/>
  <c r="E85" i="4"/>
  <c r="B86" i="4"/>
  <c r="C86" i="4"/>
  <c r="D86" i="4"/>
  <c r="E86" i="4"/>
  <c r="B87" i="4"/>
  <c r="C87" i="4"/>
  <c r="D87" i="4"/>
  <c r="E87" i="4"/>
  <c r="B88" i="4"/>
  <c r="C88" i="4"/>
  <c r="D88" i="4"/>
  <c r="E88" i="4"/>
  <c r="B89" i="4"/>
  <c r="C89" i="4"/>
  <c r="D89" i="4"/>
  <c r="E89" i="4"/>
  <c r="B90" i="4"/>
  <c r="C90" i="4"/>
  <c r="D90" i="4"/>
  <c r="E90" i="4"/>
  <c r="B91" i="4"/>
  <c r="C91" i="4"/>
  <c r="D91" i="4"/>
  <c r="E91" i="4"/>
  <c r="B92" i="4"/>
  <c r="C92" i="4"/>
  <c r="D92" i="4"/>
  <c r="E92" i="4"/>
  <c r="B93" i="4"/>
  <c r="C93" i="4"/>
  <c r="D93" i="4"/>
  <c r="E93" i="4"/>
  <c r="B94" i="4"/>
  <c r="C94" i="4"/>
  <c r="D94" i="4"/>
  <c r="E94" i="4"/>
  <c r="B95" i="4"/>
  <c r="C95" i="4"/>
  <c r="D95" i="4"/>
  <c r="E95" i="4"/>
  <c r="B96" i="4"/>
  <c r="C96" i="4"/>
  <c r="D96" i="4"/>
  <c r="E96" i="4"/>
  <c r="B97" i="4"/>
  <c r="C97" i="4"/>
  <c r="D97" i="4"/>
  <c r="E97" i="4"/>
  <c r="B98" i="4"/>
  <c r="C98" i="4"/>
  <c r="D98" i="4"/>
  <c r="E98" i="4"/>
  <c r="B99" i="4"/>
  <c r="C99" i="4"/>
  <c r="D99" i="4"/>
  <c r="E99" i="4"/>
  <c r="B100" i="4"/>
  <c r="C100" i="4"/>
  <c r="D100" i="4"/>
  <c r="E100" i="4"/>
  <c r="AH3" i="3"/>
  <c r="AA11" i="3" l="1"/>
  <c r="AA15" i="3"/>
  <c r="AA19" i="3"/>
  <c r="AA23" i="3"/>
  <c r="AA27" i="3"/>
  <c r="AA31" i="3"/>
  <c r="AA35" i="3"/>
  <c r="AA39" i="3"/>
  <c r="AA43" i="3"/>
  <c r="AA47" i="3"/>
  <c r="AA51" i="3"/>
  <c r="AA55" i="3"/>
  <c r="AA59" i="3"/>
  <c r="AA63" i="3"/>
  <c r="AA67" i="3"/>
  <c r="AA71" i="3"/>
  <c r="AA75" i="3"/>
  <c r="AA79" i="3"/>
  <c r="AA83" i="3"/>
  <c r="AA87" i="3"/>
  <c r="AA91" i="3"/>
  <c r="AA95" i="3"/>
  <c r="AA99" i="3"/>
  <c r="AA103" i="3"/>
  <c r="AA107" i="3"/>
  <c r="AA111" i="3"/>
  <c r="AA115" i="3"/>
  <c r="AA119" i="3"/>
  <c r="AA123" i="3"/>
  <c r="AA127" i="3"/>
  <c r="AA131" i="3"/>
  <c r="AA135" i="3"/>
  <c r="AA139" i="3"/>
  <c r="AA143" i="3"/>
  <c r="AA147" i="3"/>
  <c r="AA151" i="3"/>
  <c r="AA155" i="3"/>
  <c r="AA159" i="3"/>
  <c r="AA163" i="3"/>
  <c r="AA167" i="3"/>
  <c r="AA171" i="3"/>
  <c r="AA175" i="3"/>
  <c r="AA179" i="3"/>
  <c r="AA183" i="3"/>
  <c r="AA187" i="3"/>
  <c r="AA191" i="3"/>
  <c r="AA195" i="3"/>
  <c r="AA199" i="3"/>
  <c r="AA203" i="3"/>
  <c r="AA207" i="3"/>
  <c r="AA211" i="3"/>
  <c r="AA215" i="3"/>
  <c r="AA219" i="3"/>
  <c r="AA223" i="3"/>
  <c r="AA227" i="3"/>
  <c r="AA231" i="3"/>
  <c r="AA235" i="3"/>
  <c r="AA239" i="3"/>
  <c r="AA243" i="3"/>
  <c r="AA247" i="3"/>
  <c r="AA251" i="3"/>
  <c r="AA255" i="3"/>
  <c r="AA259" i="3"/>
  <c r="AA263" i="3"/>
  <c r="AA267" i="3"/>
  <c r="AA271" i="3"/>
  <c r="AA275" i="3"/>
  <c r="AA279" i="3"/>
  <c r="AA283" i="3"/>
  <c r="AA287" i="3"/>
  <c r="AA291" i="3"/>
  <c r="AA295" i="3"/>
  <c r="AA299" i="3"/>
  <c r="AA303" i="3"/>
  <c r="AA307" i="3"/>
  <c r="AA311" i="3"/>
  <c r="AA315" i="3"/>
  <c r="AA319" i="3"/>
  <c r="AA323" i="3"/>
  <c r="AA327" i="3"/>
  <c r="AA331" i="3"/>
  <c r="AA335" i="3"/>
  <c r="AA339" i="3"/>
  <c r="AA343" i="3"/>
  <c r="AA347" i="3"/>
  <c r="AA12" i="3"/>
  <c r="AA16" i="3"/>
  <c r="AA20" i="3"/>
  <c r="AA24" i="3"/>
  <c r="AA28" i="3"/>
  <c r="AA32" i="3"/>
  <c r="AA36" i="3"/>
  <c r="AA40" i="3"/>
  <c r="AA44" i="3"/>
  <c r="AA48" i="3"/>
  <c r="AA52" i="3"/>
  <c r="AA56" i="3"/>
  <c r="AA60" i="3"/>
  <c r="AA64" i="3"/>
  <c r="AA68" i="3"/>
  <c r="AA72" i="3"/>
  <c r="AA76" i="3"/>
  <c r="AA80" i="3"/>
  <c r="AA84" i="3"/>
  <c r="AA88" i="3"/>
  <c r="AA92" i="3"/>
  <c r="AA96" i="3"/>
  <c r="AA100" i="3"/>
  <c r="AA104" i="3"/>
  <c r="AA108" i="3"/>
  <c r="AA112" i="3"/>
  <c r="AA116" i="3"/>
  <c r="AA120" i="3"/>
  <c r="AA124" i="3"/>
  <c r="AA128" i="3"/>
  <c r="AA132" i="3"/>
  <c r="AA136" i="3"/>
  <c r="AA140" i="3"/>
  <c r="AA144" i="3"/>
  <c r="AA148" i="3"/>
  <c r="AA152" i="3"/>
  <c r="AA156" i="3"/>
  <c r="AA160" i="3"/>
  <c r="AA164" i="3"/>
  <c r="AA168" i="3"/>
  <c r="AA172" i="3"/>
  <c r="AA176" i="3"/>
  <c r="AA180" i="3"/>
  <c r="AA184" i="3"/>
  <c r="AA188" i="3"/>
  <c r="AA192" i="3"/>
  <c r="AA196" i="3"/>
  <c r="AA200" i="3"/>
  <c r="AA204" i="3"/>
  <c r="AA208" i="3"/>
  <c r="AA212" i="3"/>
  <c r="AA216" i="3"/>
  <c r="AA220" i="3"/>
  <c r="AA224" i="3"/>
  <c r="AA228" i="3"/>
  <c r="AA232" i="3"/>
  <c r="AA236" i="3"/>
  <c r="AA240" i="3"/>
  <c r="AA244" i="3"/>
  <c r="AA248" i="3"/>
  <c r="AA252" i="3"/>
  <c r="AA256" i="3"/>
  <c r="AA260" i="3"/>
  <c r="AA264" i="3"/>
  <c r="AA268" i="3"/>
  <c r="AA272" i="3"/>
  <c r="AA276" i="3"/>
  <c r="AA280" i="3"/>
  <c r="AA284" i="3"/>
  <c r="AA288" i="3"/>
  <c r="AA292" i="3"/>
  <c r="AA296" i="3"/>
  <c r="AA300" i="3"/>
  <c r="AA304" i="3"/>
  <c r="AA308" i="3"/>
  <c r="AA312" i="3"/>
  <c r="AA316" i="3"/>
  <c r="AA320" i="3"/>
  <c r="AA324" i="3"/>
  <c r="AA328" i="3"/>
  <c r="AA332" i="3"/>
  <c r="AA336" i="3"/>
  <c r="AA340" i="3"/>
  <c r="AA344" i="3"/>
  <c r="AA348" i="3"/>
  <c r="AA13" i="3"/>
  <c r="AA21" i="3"/>
  <c r="AA29" i="3"/>
  <c r="AA37" i="3"/>
  <c r="AA45" i="3"/>
  <c r="AA53" i="3"/>
  <c r="AA61" i="3"/>
  <c r="AA69" i="3"/>
  <c r="AA77" i="3"/>
  <c r="AA85" i="3"/>
  <c r="AA93" i="3"/>
  <c r="AA101" i="3"/>
  <c r="AA109" i="3"/>
  <c r="AA117" i="3"/>
  <c r="AA125" i="3"/>
  <c r="AA133" i="3"/>
  <c r="AA141" i="3"/>
  <c r="AA149" i="3"/>
  <c r="AA157" i="3"/>
  <c r="AA165" i="3"/>
  <c r="AA173" i="3"/>
  <c r="AA181" i="3"/>
  <c r="AA189" i="3"/>
  <c r="AA197" i="3"/>
  <c r="AA205" i="3"/>
  <c r="AA213" i="3"/>
  <c r="AA221" i="3"/>
  <c r="AA229" i="3"/>
  <c r="AA237" i="3"/>
  <c r="AA245" i="3"/>
  <c r="AA253" i="3"/>
  <c r="AA261" i="3"/>
  <c r="AA269" i="3"/>
  <c r="AA277" i="3"/>
  <c r="AA285" i="3"/>
  <c r="AA293" i="3"/>
  <c r="AA301" i="3"/>
  <c r="AA309" i="3"/>
  <c r="AA317" i="3"/>
  <c r="AA325" i="3"/>
  <c r="AA333" i="3"/>
  <c r="AA341" i="3"/>
  <c r="AA349" i="3"/>
  <c r="AA353" i="3"/>
  <c r="AA357" i="3"/>
  <c r="AA361" i="3"/>
  <c r="AA365" i="3"/>
  <c r="AA369" i="3"/>
  <c r="AA373" i="3"/>
  <c r="AA377" i="3"/>
  <c r="AA381" i="3"/>
  <c r="AA385" i="3"/>
  <c r="AA389" i="3"/>
  <c r="AA393" i="3"/>
  <c r="AA397" i="3"/>
  <c r="AA10" i="3"/>
  <c r="AA334" i="3"/>
  <c r="AA350" i="3"/>
  <c r="AA358" i="3"/>
  <c r="AA366" i="3"/>
  <c r="AA374" i="3"/>
  <c r="AA382" i="3"/>
  <c r="AA390" i="3"/>
  <c r="AA398" i="3"/>
  <c r="AA82" i="3"/>
  <c r="AA114" i="3"/>
  <c r="AA130" i="3"/>
  <c r="AA162" i="3"/>
  <c r="AA186" i="3"/>
  <c r="AA210" i="3"/>
  <c r="AA234" i="3"/>
  <c r="AA258" i="3"/>
  <c r="AA282" i="3"/>
  <c r="AA306" i="3"/>
  <c r="AA322" i="3"/>
  <c r="AA346" i="3"/>
  <c r="AA360" i="3"/>
  <c r="AA372" i="3"/>
  <c r="AA384" i="3"/>
  <c r="AA396" i="3"/>
  <c r="AA14" i="3"/>
  <c r="AA22" i="3"/>
  <c r="AA30" i="3"/>
  <c r="AA38" i="3"/>
  <c r="AA46" i="3"/>
  <c r="AA54" i="3"/>
  <c r="AA62" i="3"/>
  <c r="AA70" i="3"/>
  <c r="AA78" i="3"/>
  <c r="AA86" i="3"/>
  <c r="AA94" i="3"/>
  <c r="AA102" i="3"/>
  <c r="AA110" i="3"/>
  <c r="AA118" i="3"/>
  <c r="AA126" i="3"/>
  <c r="AA134" i="3"/>
  <c r="AA142" i="3"/>
  <c r="AA150" i="3"/>
  <c r="AA158" i="3"/>
  <c r="AA166" i="3"/>
  <c r="AA174" i="3"/>
  <c r="AA182" i="3"/>
  <c r="AA190" i="3"/>
  <c r="AA198" i="3"/>
  <c r="AA206" i="3"/>
  <c r="AA214" i="3"/>
  <c r="AA222" i="3"/>
  <c r="AA230" i="3"/>
  <c r="AA238" i="3"/>
  <c r="AA246" i="3"/>
  <c r="AA254" i="3"/>
  <c r="AA262" i="3"/>
  <c r="AA270" i="3"/>
  <c r="AA278" i="3"/>
  <c r="AA286" i="3"/>
  <c r="AA294" i="3"/>
  <c r="AA302" i="3"/>
  <c r="AA310" i="3"/>
  <c r="AA318" i="3"/>
  <c r="AA326" i="3"/>
  <c r="AA342" i="3"/>
  <c r="AA354" i="3"/>
  <c r="AA362" i="3"/>
  <c r="AA370" i="3"/>
  <c r="AA378" i="3"/>
  <c r="AA386" i="3"/>
  <c r="AA394" i="3"/>
  <c r="AA90" i="3"/>
  <c r="AA146" i="3"/>
  <c r="AA178" i="3"/>
  <c r="AA202" i="3"/>
  <c r="AA226" i="3"/>
  <c r="AA250" i="3"/>
  <c r="AA274" i="3"/>
  <c r="AA298" i="3"/>
  <c r="AA330" i="3"/>
  <c r="AA356" i="3"/>
  <c r="AA368" i="3"/>
  <c r="AA380" i="3"/>
  <c r="AA392" i="3"/>
  <c r="AA17" i="3"/>
  <c r="AA25" i="3"/>
  <c r="AA33" i="3"/>
  <c r="AA41" i="3"/>
  <c r="AA49" i="3"/>
  <c r="AA57" i="3"/>
  <c r="AA65" i="3"/>
  <c r="AA73" i="3"/>
  <c r="AA81" i="3"/>
  <c r="AA89" i="3"/>
  <c r="AA97" i="3"/>
  <c r="AA105" i="3"/>
  <c r="AA113" i="3"/>
  <c r="AA121" i="3"/>
  <c r="AA129" i="3"/>
  <c r="AA137" i="3"/>
  <c r="AA145" i="3"/>
  <c r="AA153" i="3"/>
  <c r="AA161" i="3"/>
  <c r="AA169" i="3"/>
  <c r="AA177" i="3"/>
  <c r="AA185" i="3"/>
  <c r="AA193" i="3"/>
  <c r="AA201" i="3"/>
  <c r="AA209" i="3"/>
  <c r="AA217" i="3"/>
  <c r="AA225" i="3"/>
  <c r="AA233" i="3"/>
  <c r="AA241" i="3"/>
  <c r="AA249" i="3"/>
  <c r="AA257" i="3"/>
  <c r="AA265" i="3"/>
  <c r="AA273" i="3"/>
  <c r="AA281" i="3"/>
  <c r="AA289" i="3"/>
  <c r="AA297" i="3"/>
  <c r="AA305" i="3"/>
  <c r="AA313" i="3"/>
  <c r="AA321" i="3"/>
  <c r="AA329" i="3"/>
  <c r="AA337" i="3"/>
  <c r="AA345" i="3"/>
  <c r="AA351" i="3"/>
  <c r="AA355" i="3"/>
  <c r="AA359" i="3"/>
  <c r="AA363" i="3"/>
  <c r="AA367" i="3"/>
  <c r="AA371" i="3"/>
  <c r="AA375" i="3"/>
  <c r="AA379" i="3"/>
  <c r="AA383" i="3"/>
  <c r="AA387" i="3"/>
  <c r="AA391" i="3"/>
  <c r="AA395" i="3"/>
  <c r="AA399" i="3"/>
  <c r="AA18" i="3"/>
  <c r="AA26" i="3"/>
  <c r="AA34" i="3"/>
  <c r="AA42" i="3"/>
  <c r="AA50" i="3"/>
  <c r="AA58" i="3"/>
  <c r="AA66" i="3"/>
  <c r="AA74" i="3"/>
  <c r="AA98" i="3"/>
  <c r="AA106" i="3"/>
  <c r="AA122" i="3"/>
  <c r="AA138" i="3"/>
  <c r="AA154" i="3"/>
  <c r="AA170" i="3"/>
  <c r="AA194" i="3"/>
  <c r="AA218" i="3"/>
  <c r="AA242" i="3"/>
  <c r="AA266" i="3"/>
  <c r="AA290" i="3"/>
  <c r="AA314" i="3"/>
  <c r="AA338" i="3"/>
  <c r="AA352" i="3"/>
  <c r="AA364" i="3"/>
  <c r="AA376" i="3"/>
  <c r="AA388" i="3"/>
  <c r="AA400" i="3"/>
  <c r="J4" i="5"/>
  <c r="K4" i="5" s="1"/>
  <c r="E4" i="5"/>
  <c r="B66" i="5" s="1"/>
  <c r="E66" i="5" s="1"/>
  <c r="M5" i="2"/>
  <c r="T3" i="3"/>
  <c r="C6" i="3" s="1"/>
  <c r="C109" i="3" s="1"/>
  <c r="AH4" i="8"/>
  <c r="AE4" i="8" s="1"/>
  <c r="AL4" i="8" s="1"/>
  <c r="U4" i="8"/>
  <c r="AN4" i="8"/>
  <c r="AO4" i="8" s="1"/>
  <c r="B20" i="1"/>
  <c r="B17" i="1"/>
  <c r="B19" i="1"/>
  <c r="B13" i="1"/>
  <c r="B24" i="1"/>
  <c r="B22" i="1"/>
  <c r="B31" i="1"/>
  <c r="B21" i="1"/>
  <c r="B14" i="1"/>
  <c r="B10" i="1"/>
  <c r="B15" i="1"/>
  <c r="B25" i="1"/>
  <c r="B32" i="1"/>
  <c r="B27" i="1"/>
  <c r="B29" i="1"/>
  <c r="B16" i="1"/>
  <c r="B30" i="1"/>
  <c r="B12" i="1"/>
  <c r="B33" i="1"/>
  <c r="B23" i="1"/>
  <c r="B28" i="1"/>
  <c r="B26" i="1"/>
  <c r="B35" i="1"/>
  <c r="B18" i="1"/>
  <c r="B34" i="1"/>
  <c r="AI4" i="8" l="1"/>
  <c r="AD30" i="8"/>
  <c r="AD34" i="8"/>
  <c r="AD38" i="8"/>
  <c r="AD42" i="8"/>
  <c r="AD46" i="8"/>
  <c r="AD50" i="8"/>
  <c r="AD54" i="8"/>
  <c r="AD58" i="8"/>
  <c r="AD62" i="8"/>
  <c r="AD66" i="8"/>
  <c r="AD70" i="8"/>
  <c r="AD74" i="8"/>
  <c r="AD78" i="8"/>
  <c r="AD82" i="8"/>
  <c r="AD86" i="8"/>
  <c r="AD90" i="8"/>
  <c r="AD94" i="8"/>
  <c r="AD98" i="8"/>
  <c r="AD102" i="8"/>
  <c r="AD106" i="8"/>
  <c r="AD110" i="8"/>
  <c r="AD114" i="8"/>
  <c r="AC11" i="8"/>
  <c r="AC13" i="8"/>
  <c r="AC15" i="8"/>
  <c r="AC17" i="8"/>
  <c r="AC19" i="8"/>
  <c r="AC21" i="8"/>
  <c r="AC23" i="8"/>
  <c r="AC25" i="8"/>
  <c r="AC27" i="8"/>
  <c r="AC29" i="8"/>
  <c r="AC33" i="8"/>
  <c r="AC37" i="8"/>
  <c r="AC41" i="8"/>
  <c r="AC45" i="8"/>
  <c r="AC49" i="8"/>
  <c r="AC53" i="8"/>
  <c r="AC57" i="8"/>
  <c r="AC61" i="8"/>
  <c r="AC65" i="8"/>
  <c r="AC69" i="8"/>
  <c r="AC73" i="8"/>
  <c r="AC77" i="8"/>
  <c r="AC81" i="8"/>
  <c r="AC85" i="8"/>
  <c r="AC89" i="8"/>
  <c r="AC93" i="8"/>
  <c r="AC97" i="8"/>
  <c r="AC101" i="8"/>
  <c r="AC105" i="8"/>
  <c r="AC109" i="8"/>
  <c r="AC113" i="8"/>
  <c r="AD37" i="8"/>
  <c r="AD49" i="8"/>
  <c r="AD57" i="8"/>
  <c r="AD65" i="8"/>
  <c r="AD77" i="8"/>
  <c r="AD85" i="8"/>
  <c r="AD97" i="8"/>
  <c r="AD113" i="8"/>
  <c r="AD14" i="8"/>
  <c r="AD16" i="8"/>
  <c r="AD22" i="8"/>
  <c r="AD28" i="8"/>
  <c r="AC40" i="8"/>
  <c r="AC52" i="8"/>
  <c r="AC64" i="8"/>
  <c r="AC76" i="8"/>
  <c r="AC88" i="8"/>
  <c r="AC96" i="8"/>
  <c r="AC108" i="8"/>
  <c r="AD31" i="8"/>
  <c r="AD35" i="8"/>
  <c r="AD39" i="8"/>
  <c r="AD43" i="8"/>
  <c r="AD47" i="8"/>
  <c r="AD51" i="8"/>
  <c r="AD55" i="8"/>
  <c r="AD59" i="8"/>
  <c r="AD63" i="8"/>
  <c r="AD67" i="8"/>
  <c r="AD71" i="8"/>
  <c r="AD75" i="8"/>
  <c r="AD79" i="8"/>
  <c r="AD83" i="8"/>
  <c r="AD87" i="8"/>
  <c r="AD91" i="8"/>
  <c r="AD95" i="8"/>
  <c r="AD99" i="8"/>
  <c r="AD103" i="8"/>
  <c r="AD107" i="8"/>
  <c r="AD111" i="8"/>
  <c r="AD115" i="8"/>
  <c r="AD11" i="8"/>
  <c r="AD13" i="8"/>
  <c r="AD15" i="8"/>
  <c r="AD17" i="8"/>
  <c r="AD19" i="8"/>
  <c r="AD21" i="8"/>
  <c r="AD23" i="8"/>
  <c r="AD25" i="8"/>
  <c r="AD27" i="8"/>
  <c r="AC30" i="8"/>
  <c r="AC34" i="8"/>
  <c r="AC38" i="8"/>
  <c r="AC42" i="8"/>
  <c r="AC46" i="8"/>
  <c r="AC50" i="8"/>
  <c r="AC54" i="8"/>
  <c r="AC58" i="8"/>
  <c r="AC62" i="8"/>
  <c r="AC66" i="8"/>
  <c r="AC70" i="8"/>
  <c r="AC74" i="8"/>
  <c r="AC78" i="8"/>
  <c r="AC82" i="8"/>
  <c r="AC86" i="8"/>
  <c r="AC90" i="8"/>
  <c r="AC94" i="8"/>
  <c r="AC98" i="8"/>
  <c r="AC102" i="8"/>
  <c r="AC106" i="8"/>
  <c r="AC110" i="8"/>
  <c r="AC114" i="8"/>
  <c r="AD41" i="8"/>
  <c r="AD69" i="8"/>
  <c r="AD81" i="8"/>
  <c r="AD93" i="8"/>
  <c r="AD105" i="8"/>
  <c r="AD29" i="8"/>
  <c r="AD20" i="8"/>
  <c r="AD26" i="8"/>
  <c r="AC36" i="8"/>
  <c r="AC48" i="8"/>
  <c r="AC60" i="8"/>
  <c r="AC72" i="8"/>
  <c r="AC84" i="8"/>
  <c r="AC100" i="8"/>
  <c r="AC112" i="8"/>
  <c r="AD32" i="8"/>
  <c r="AD36" i="8"/>
  <c r="AD40" i="8"/>
  <c r="AD44" i="8"/>
  <c r="AD48" i="8"/>
  <c r="AD52" i="8"/>
  <c r="AD56" i="8"/>
  <c r="AD60" i="8"/>
  <c r="AD64" i="8"/>
  <c r="AD68" i="8"/>
  <c r="AD72" i="8"/>
  <c r="AD76" i="8"/>
  <c r="AD80" i="8"/>
  <c r="AD84" i="8"/>
  <c r="AD88" i="8"/>
  <c r="AD92" i="8"/>
  <c r="AD96" i="8"/>
  <c r="AD100" i="8"/>
  <c r="AD104" i="8"/>
  <c r="AD108" i="8"/>
  <c r="AD112" i="8"/>
  <c r="AD116" i="8"/>
  <c r="AC12" i="8"/>
  <c r="AC14" i="8"/>
  <c r="AC16" i="8"/>
  <c r="AC18" i="8"/>
  <c r="AC20" i="8"/>
  <c r="AC22" i="8"/>
  <c r="AC24" i="8"/>
  <c r="AC26" i="8"/>
  <c r="AC28" i="8"/>
  <c r="AC31" i="8"/>
  <c r="AC35" i="8"/>
  <c r="AC39" i="8"/>
  <c r="AC43" i="8"/>
  <c r="AC47" i="8"/>
  <c r="AC51" i="8"/>
  <c r="AC55" i="8"/>
  <c r="AC59" i="8"/>
  <c r="AC63" i="8"/>
  <c r="AC67" i="8"/>
  <c r="AC71" i="8"/>
  <c r="AC75" i="8"/>
  <c r="AC79" i="8"/>
  <c r="AC83" i="8"/>
  <c r="AC87" i="8"/>
  <c r="AC91" i="8"/>
  <c r="AC95" i="8"/>
  <c r="AC99" i="8"/>
  <c r="AC103" i="8"/>
  <c r="AC107" i="8"/>
  <c r="AC111" i="8"/>
  <c r="AC115" i="8"/>
  <c r="AD33" i="8"/>
  <c r="AD45" i="8"/>
  <c r="AD53" i="8"/>
  <c r="AD61" i="8"/>
  <c r="AD73" i="8"/>
  <c r="AD89" i="8"/>
  <c r="AD101" i="8"/>
  <c r="AD109" i="8"/>
  <c r="AD12" i="8"/>
  <c r="AD18" i="8"/>
  <c r="AD24" i="8"/>
  <c r="AC32" i="8"/>
  <c r="AC44" i="8"/>
  <c r="AC56" i="8"/>
  <c r="AC68" i="8"/>
  <c r="AC80" i="8"/>
  <c r="AC92" i="8"/>
  <c r="AC104" i="8"/>
  <c r="AC116" i="8"/>
  <c r="D18" i="5"/>
  <c r="B89" i="3"/>
  <c r="C86" i="3"/>
  <c r="Y3" i="3"/>
  <c r="Z3" i="3" s="1"/>
  <c r="B25" i="3"/>
  <c r="B13" i="3"/>
  <c r="C13" i="3"/>
  <c r="B94" i="3"/>
  <c r="B96" i="3"/>
  <c r="C68" i="3"/>
  <c r="B55" i="3"/>
  <c r="C52" i="3"/>
  <c r="C40" i="3"/>
  <c r="B46" i="3"/>
  <c r="B87" i="3"/>
  <c r="C85" i="3"/>
  <c r="B43" i="3"/>
  <c r="C19" i="3"/>
  <c r="B44" i="3"/>
  <c r="B80" i="3"/>
  <c r="C31" i="3"/>
  <c r="C59" i="3"/>
  <c r="C57" i="3"/>
  <c r="B106" i="3"/>
  <c r="B67" i="3"/>
  <c r="C37" i="3"/>
  <c r="C65" i="3"/>
  <c r="C43" i="3"/>
  <c r="C83" i="3"/>
  <c r="B65" i="3"/>
  <c r="C17" i="3"/>
  <c r="C14" i="3"/>
  <c r="C12" i="3"/>
  <c r="B54" i="3"/>
  <c r="B58" i="3"/>
  <c r="C97" i="3"/>
  <c r="C84" i="3"/>
  <c r="C62" i="3"/>
  <c r="C90" i="3"/>
  <c r="B52" i="3"/>
  <c r="B75" i="3"/>
  <c r="C82" i="3"/>
  <c r="C92" i="3"/>
  <c r="B83" i="3"/>
  <c r="C26" i="3"/>
  <c r="B26" i="3"/>
  <c r="B16" i="3"/>
  <c r="B68" i="3"/>
  <c r="C99" i="3"/>
  <c r="C115" i="3"/>
  <c r="B91" i="3"/>
  <c r="C49" i="3"/>
  <c r="B79" i="3"/>
  <c r="C93" i="3"/>
  <c r="B105" i="3"/>
  <c r="C50" i="3"/>
  <c r="C39" i="3"/>
  <c r="C11" i="3"/>
  <c r="C54" i="3"/>
  <c r="B29" i="3"/>
  <c r="C63" i="3"/>
  <c r="C88" i="3"/>
  <c r="C33" i="3"/>
  <c r="C61" i="3"/>
  <c r="B30" i="3"/>
  <c r="B108" i="3"/>
  <c r="C30" i="3"/>
  <c r="C108" i="3"/>
  <c r="B77" i="3"/>
  <c r="C55" i="3"/>
  <c r="B99" i="3"/>
  <c r="B28" i="3"/>
  <c r="C18" i="3"/>
  <c r="C101" i="3"/>
  <c r="B70" i="3"/>
  <c r="C42" i="3"/>
  <c r="C70" i="3"/>
  <c r="B35" i="3"/>
  <c r="C23" i="3"/>
  <c r="B90" i="3"/>
  <c r="C56" i="3"/>
  <c r="C35" i="3"/>
  <c r="C113" i="3"/>
  <c r="C91" i="3"/>
  <c r="C15" i="3"/>
  <c r="C24" i="3"/>
  <c r="C110" i="3"/>
  <c r="B85" i="3"/>
  <c r="C111" i="3"/>
  <c r="C96" i="3"/>
  <c r="B37" i="3"/>
  <c r="C75" i="3"/>
  <c r="C25" i="3"/>
  <c r="B81" i="3"/>
  <c r="B18" i="3"/>
  <c r="B74" i="3"/>
  <c r="B93" i="3"/>
  <c r="B34" i="3"/>
  <c r="B27" i="3"/>
  <c r="B19" i="3"/>
  <c r="B23" i="3"/>
  <c r="B82" i="3"/>
  <c r="B86" i="3"/>
  <c r="B92" i="3"/>
  <c r="C32" i="3"/>
  <c r="C51" i="3"/>
  <c r="B20" i="3"/>
  <c r="B48" i="3"/>
  <c r="C20" i="3"/>
  <c r="C98" i="3"/>
  <c r="B49" i="3"/>
  <c r="B111" i="3"/>
  <c r="B50" i="3"/>
  <c r="B64" i="3"/>
  <c r="B60" i="3"/>
  <c r="C16" i="3"/>
  <c r="C27" i="3"/>
  <c r="B88" i="3"/>
  <c r="C60" i="3"/>
  <c r="B97" i="3"/>
  <c r="B107" i="3"/>
  <c r="C47" i="3"/>
  <c r="C64" i="3"/>
  <c r="B31" i="3"/>
  <c r="AC3" i="3"/>
  <c r="AG3" i="3" s="1"/>
  <c r="AI3" i="3" s="1"/>
  <c r="AJ3" i="3" s="1"/>
  <c r="AK3" i="3" s="1"/>
  <c r="AM3" i="3" s="1"/>
  <c r="B103" i="3"/>
  <c r="B84" i="3"/>
  <c r="B15" i="3"/>
  <c r="B62" i="3"/>
  <c r="B95" i="3"/>
  <c r="B114" i="3"/>
  <c r="B40" i="3"/>
  <c r="C46" i="3"/>
  <c r="B41" i="3"/>
  <c r="C71" i="3"/>
  <c r="B11" i="3"/>
  <c r="C89" i="3"/>
  <c r="C117" i="3"/>
  <c r="C58" i="3"/>
  <c r="B32" i="3"/>
  <c r="C48" i="3"/>
  <c r="C104" i="3"/>
  <c r="V3" i="3"/>
  <c r="W3" i="3" s="1"/>
  <c r="C28" i="3"/>
  <c r="B56" i="3"/>
  <c r="B112" i="3"/>
  <c r="C103" i="3"/>
  <c r="B78" i="3"/>
  <c r="B69" i="3"/>
  <c r="C34" i="3"/>
  <c r="B14" i="3"/>
  <c r="C78" i="3"/>
  <c r="C80" i="3"/>
  <c r="B12" i="3"/>
  <c r="C36" i="3"/>
  <c r="B24" i="3"/>
  <c r="B102" i="3"/>
  <c r="C74" i="3"/>
  <c r="C102" i="3"/>
  <c r="B53" i="3"/>
  <c r="C95" i="3"/>
  <c r="C72" i="3"/>
  <c r="B51" i="3"/>
  <c r="C67" i="3"/>
  <c r="B36" i="3"/>
  <c r="B110" i="3"/>
  <c r="B57" i="3"/>
  <c r="C77" i="3"/>
  <c r="B113" i="3"/>
  <c r="B63" i="3"/>
  <c r="B98" i="3"/>
  <c r="B47" i="3"/>
  <c r="C29" i="3"/>
  <c r="C107" i="3"/>
  <c r="B76" i="3"/>
  <c r="B104" i="3"/>
  <c r="C76" i="3"/>
  <c r="B59" i="3"/>
  <c r="C73" i="3"/>
  <c r="B101" i="3"/>
  <c r="B71" i="3"/>
  <c r="C105" i="3"/>
  <c r="C69" i="3"/>
  <c r="B38" i="3"/>
  <c r="B116" i="3"/>
  <c r="C38" i="3"/>
  <c r="C116" i="3"/>
  <c r="B109" i="3"/>
  <c r="B21" i="3"/>
  <c r="B21" i="5"/>
  <c r="E21" i="5" s="1"/>
  <c r="B22" i="3"/>
  <c r="B100" i="3"/>
  <c r="C53" i="3"/>
  <c r="C45" i="3"/>
  <c r="C87" i="3"/>
  <c r="C66" i="3"/>
  <c r="C94" i="3"/>
  <c r="C79" i="3"/>
  <c r="C41" i="3"/>
  <c r="B17" i="3"/>
  <c r="C22" i="3"/>
  <c r="B45" i="3"/>
  <c r="B72" i="3"/>
  <c r="C44" i="3"/>
  <c r="B33" i="3"/>
  <c r="B61" i="3"/>
  <c r="C114" i="3"/>
  <c r="B42" i="3"/>
  <c r="C21" i="3"/>
  <c r="B66" i="3"/>
  <c r="B39" i="3"/>
  <c r="C81" i="3"/>
  <c r="C112" i="3"/>
  <c r="C100" i="3"/>
  <c r="B117" i="3"/>
  <c r="C106" i="3"/>
  <c r="D24" i="5"/>
  <c r="D43" i="5"/>
  <c r="B71" i="5"/>
  <c r="E71" i="5" s="1"/>
  <c r="D66" i="5"/>
  <c r="D96" i="5"/>
  <c r="B31" i="5"/>
  <c r="E31" i="5" s="1"/>
  <c r="D65" i="5"/>
  <c r="D73" i="5"/>
  <c r="D32" i="5"/>
  <c r="D33" i="5"/>
  <c r="B72" i="5"/>
  <c r="E72" i="5" s="1"/>
  <c r="D10" i="5"/>
  <c r="B18" i="5"/>
  <c r="E18" i="5" s="1"/>
  <c r="B51" i="5"/>
  <c r="E51" i="5" s="1"/>
  <c r="B65" i="5"/>
  <c r="E65" i="5" s="1"/>
  <c r="B33" i="5"/>
  <c r="E33" i="5" s="1"/>
  <c r="B68" i="5"/>
  <c r="E68" i="5" s="1"/>
  <c r="D68" i="5"/>
  <c r="D100" i="5"/>
  <c r="D71" i="5"/>
  <c r="B87" i="5"/>
  <c r="E87" i="5" s="1"/>
  <c r="D38" i="5"/>
  <c r="B48" i="5"/>
  <c r="E48" i="5" s="1"/>
  <c r="B27" i="5"/>
  <c r="E27" i="5" s="1"/>
  <c r="B19" i="5"/>
  <c r="E19" i="5" s="1"/>
  <c r="D25" i="5"/>
  <c r="D40" i="5"/>
  <c r="B40" i="5"/>
  <c r="E40" i="5" s="1"/>
  <c r="D98" i="5"/>
  <c r="D39" i="5"/>
  <c r="D92" i="5"/>
  <c r="D91" i="5"/>
  <c r="D75" i="5"/>
  <c r="D81" i="5"/>
  <c r="B75" i="5"/>
  <c r="E75" i="5" s="1"/>
  <c r="B35" i="5"/>
  <c r="E35" i="5" s="1"/>
  <c r="B56" i="5"/>
  <c r="E56" i="5" s="1"/>
  <c r="G4" i="5"/>
  <c r="F4" i="5"/>
  <c r="D26" i="5"/>
  <c r="B85" i="5"/>
  <c r="E85" i="5" s="1"/>
  <c r="B15" i="5"/>
  <c r="E15" i="5" s="1"/>
  <c r="D88" i="5"/>
  <c r="B13" i="5"/>
  <c r="E13" i="5" s="1"/>
  <c r="B80" i="5"/>
  <c r="E80" i="5" s="1"/>
  <c r="B36" i="5"/>
  <c r="E36" i="5" s="1"/>
  <c r="D20" i="5"/>
  <c r="D56" i="5"/>
  <c r="B78" i="5"/>
  <c r="E78" i="5" s="1"/>
  <c r="B84" i="5"/>
  <c r="E84" i="5" s="1"/>
  <c r="D70" i="5"/>
  <c r="B90" i="5"/>
  <c r="E90" i="5" s="1"/>
  <c r="D47" i="5"/>
  <c r="D37" i="5"/>
  <c r="D95" i="5"/>
  <c r="D14" i="5"/>
  <c r="B73" i="5"/>
  <c r="E73" i="5" s="1"/>
  <c r="D55" i="5"/>
  <c r="B57" i="5"/>
  <c r="E57" i="5" s="1"/>
  <c r="B100" i="5"/>
  <c r="E100" i="5" s="1"/>
  <c r="D67" i="5"/>
  <c r="D53" i="5"/>
  <c r="D46" i="5"/>
  <c r="D80" i="5"/>
  <c r="B47" i="5"/>
  <c r="E47" i="5" s="1"/>
  <c r="D12" i="5"/>
  <c r="D82" i="5"/>
  <c r="D54" i="5"/>
  <c r="D17" i="5"/>
  <c r="D22" i="5"/>
  <c r="B96" i="5"/>
  <c r="E96" i="5" s="1"/>
  <c r="D35" i="5"/>
  <c r="D83" i="5"/>
  <c r="D77" i="5"/>
  <c r="D69" i="5"/>
  <c r="D63" i="5"/>
  <c r="D85" i="5"/>
  <c r="D93" i="5"/>
  <c r="D27" i="5"/>
  <c r="B29" i="5"/>
  <c r="E29" i="5" s="1"/>
  <c r="B37" i="5"/>
  <c r="E37" i="5" s="1"/>
  <c r="D19" i="5"/>
  <c r="B79" i="5"/>
  <c r="E79" i="5" s="1"/>
  <c r="D79" i="5"/>
  <c r="B86" i="5"/>
  <c r="E86" i="5" s="1"/>
  <c r="B81" i="5"/>
  <c r="E81" i="5" s="1"/>
  <c r="B52" i="5"/>
  <c r="E52" i="5" s="1"/>
  <c r="B76" i="5"/>
  <c r="E76" i="5" s="1"/>
  <c r="D41" i="5"/>
  <c r="B10" i="5"/>
  <c r="E10" i="5" s="1"/>
  <c r="B77" i="5"/>
  <c r="E77" i="5" s="1"/>
  <c r="B16" i="5"/>
  <c r="E16" i="5" s="1"/>
  <c r="B94" i="5"/>
  <c r="E94" i="5" s="1"/>
  <c r="B42" i="5"/>
  <c r="E42" i="5" s="1"/>
  <c r="B98" i="5"/>
  <c r="E98" i="5" s="1"/>
  <c r="B62" i="5"/>
  <c r="E62" i="5" s="1"/>
  <c r="B39" i="5"/>
  <c r="E39" i="5" s="1"/>
  <c r="B28" i="5"/>
  <c r="E28" i="5" s="1"/>
  <c r="D60" i="5"/>
  <c r="D58" i="5"/>
  <c r="D29" i="5"/>
  <c r="B24" i="5"/>
  <c r="E24" i="5" s="1"/>
  <c r="D99" i="5"/>
  <c r="B11" i="5"/>
  <c r="E11" i="5" s="1"/>
  <c r="B82" i="5"/>
  <c r="E82" i="5" s="1"/>
  <c r="B55" i="5"/>
  <c r="E55" i="5" s="1"/>
  <c r="D84" i="5"/>
  <c r="B26" i="5"/>
  <c r="E26" i="5" s="1"/>
  <c r="B67" i="5"/>
  <c r="E67" i="5" s="1"/>
  <c r="D30" i="5"/>
  <c r="D89" i="5"/>
  <c r="D97" i="5"/>
  <c r="B61" i="5"/>
  <c r="E61" i="5" s="1"/>
  <c r="B50" i="5"/>
  <c r="E50" i="5" s="1"/>
  <c r="B25" i="5"/>
  <c r="E25" i="5" s="1"/>
  <c r="B89" i="5"/>
  <c r="E89" i="5" s="1"/>
  <c r="D48" i="5"/>
  <c r="B60" i="5"/>
  <c r="E60" i="5" s="1"/>
  <c r="B30" i="5"/>
  <c r="E30" i="5" s="1"/>
  <c r="D11" i="5"/>
  <c r="B14" i="5"/>
  <c r="E14" i="5" s="1"/>
  <c r="D23" i="5"/>
  <c r="B97" i="5"/>
  <c r="E97" i="5" s="1"/>
  <c r="D87" i="5"/>
  <c r="B64" i="5"/>
  <c r="E64" i="5" s="1"/>
  <c r="B54" i="5"/>
  <c r="E54" i="5" s="1"/>
  <c r="B92" i="5"/>
  <c r="E92" i="5" s="1"/>
  <c r="D34" i="5"/>
  <c r="D52" i="5"/>
  <c r="D21" i="5"/>
  <c r="B44" i="5"/>
  <c r="E44" i="5" s="1"/>
  <c r="B22" i="5"/>
  <c r="E22" i="5" s="1"/>
  <c r="D50" i="5"/>
  <c r="B23" i="5"/>
  <c r="E23" i="5" s="1"/>
  <c r="B93" i="5"/>
  <c r="E93" i="5" s="1"/>
  <c r="D13" i="5"/>
  <c r="B32" i="5"/>
  <c r="E32" i="5" s="1"/>
  <c r="B95" i="5"/>
  <c r="E95" i="5" s="1"/>
  <c r="D49" i="5"/>
  <c r="D86" i="5"/>
  <c r="D51" i="5"/>
  <c r="D74" i="5"/>
  <c r="D57" i="5"/>
  <c r="B91" i="5"/>
  <c r="E91" i="5" s="1"/>
  <c r="D59" i="5"/>
  <c r="D15" i="5"/>
  <c r="B88" i="5"/>
  <c r="E88" i="5" s="1"/>
  <c r="B49" i="5"/>
  <c r="E49" i="5" s="1"/>
  <c r="B38" i="5"/>
  <c r="E38" i="5" s="1"/>
  <c r="D45" i="5"/>
  <c r="D31" i="5"/>
  <c r="B46" i="5"/>
  <c r="E46" i="5" s="1"/>
  <c r="D72" i="5"/>
  <c r="B17" i="5"/>
  <c r="E17" i="5" s="1"/>
  <c r="B53" i="5"/>
  <c r="E53" i="5" s="1"/>
  <c r="D28" i="5"/>
  <c r="B12" i="5"/>
  <c r="E12" i="5" s="1"/>
  <c r="B45" i="5"/>
  <c r="E45" i="5" s="1"/>
  <c r="D36" i="5"/>
  <c r="B63" i="5"/>
  <c r="E63" i="5" s="1"/>
  <c r="D90" i="5"/>
  <c r="D42" i="5"/>
  <c r="D44" i="5"/>
  <c r="B83" i="5"/>
  <c r="E83" i="5" s="1"/>
  <c r="D78" i="5"/>
  <c r="B41" i="5"/>
  <c r="E41" i="5" s="1"/>
  <c r="B59" i="5"/>
  <c r="E59" i="5" s="1"/>
  <c r="D76" i="5"/>
  <c r="D61" i="5"/>
  <c r="D94" i="5"/>
  <c r="B69" i="5"/>
  <c r="E69" i="5" s="1"/>
  <c r="D62" i="5"/>
  <c r="D64" i="5"/>
  <c r="B58" i="5"/>
  <c r="E58" i="5" s="1"/>
  <c r="B99" i="5"/>
  <c r="E99" i="5" s="1"/>
  <c r="D16" i="5"/>
  <c r="B70" i="5"/>
  <c r="E70" i="5" s="1"/>
  <c r="B74" i="5"/>
  <c r="E74" i="5" s="1"/>
  <c r="B34" i="5"/>
  <c r="E34" i="5" s="1"/>
  <c r="B20" i="5"/>
  <c r="E20" i="5" s="1"/>
  <c r="B43" i="5"/>
  <c r="E43" i="5" s="1"/>
  <c r="AD10" i="8"/>
  <c r="AC10" i="8"/>
  <c r="D5" i="2"/>
  <c r="D7" i="2" s="1"/>
  <c r="AF4" i="8"/>
  <c r="B73" i="3"/>
  <c r="B115" i="3"/>
  <c r="AG4" i="8"/>
  <c r="AJ4" i="8" s="1"/>
  <c r="AA30" i="8"/>
  <c r="AA34" i="8"/>
  <c r="AA38" i="8"/>
  <c r="AA42" i="8"/>
  <c r="AA46" i="8"/>
  <c r="AA50" i="8"/>
  <c r="AA54" i="8"/>
  <c r="AA58" i="8"/>
  <c r="AA62" i="8"/>
  <c r="AA66" i="8"/>
  <c r="AA70" i="8"/>
  <c r="AA74" i="8"/>
  <c r="AA78" i="8"/>
  <c r="AA82" i="8"/>
  <c r="AA86" i="8"/>
  <c r="AA90" i="8"/>
  <c r="AA94" i="8"/>
  <c r="AA98" i="8"/>
  <c r="AA102" i="8"/>
  <c r="AA106" i="8"/>
  <c r="AA110" i="8"/>
  <c r="AA114" i="8"/>
  <c r="AA11" i="8"/>
  <c r="AA15" i="8"/>
  <c r="AA19" i="8"/>
  <c r="AA23" i="8"/>
  <c r="AA27" i="8"/>
  <c r="X30" i="8"/>
  <c r="X34" i="8"/>
  <c r="X38" i="8"/>
  <c r="X42" i="8"/>
  <c r="X46" i="8"/>
  <c r="X50" i="8"/>
  <c r="X54" i="8"/>
  <c r="X58" i="8"/>
  <c r="X62" i="8"/>
  <c r="X66" i="8"/>
  <c r="X70" i="8"/>
  <c r="X74" i="8"/>
  <c r="X78" i="8"/>
  <c r="X82" i="8"/>
  <c r="X86" i="8"/>
  <c r="X90" i="8"/>
  <c r="X94" i="8"/>
  <c r="X98" i="8"/>
  <c r="X102" i="8"/>
  <c r="X106" i="8"/>
  <c r="X110" i="8"/>
  <c r="X114" i="8"/>
  <c r="X28" i="8"/>
  <c r="X14" i="8"/>
  <c r="X18" i="8"/>
  <c r="X22" i="8"/>
  <c r="X26" i="8"/>
  <c r="AA31" i="8"/>
  <c r="AA35" i="8"/>
  <c r="AA39" i="8"/>
  <c r="AA43" i="8"/>
  <c r="AA47" i="8"/>
  <c r="AA51" i="8"/>
  <c r="AA55" i="8"/>
  <c r="AA59" i="8"/>
  <c r="AA63" i="8"/>
  <c r="AA67" i="8"/>
  <c r="AA71" i="8"/>
  <c r="AA75" i="8"/>
  <c r="AA79" i="8"/>
  <c r="AA83" i="8"/>
  <c r="AA87" i="8"/>
  <c r="AA91" i="8"/>
  <c r="AA95" i="8"/>
  <c r="AA99" i="8"/>
  <c r="AA103" i="8"/>
  <c r="AA107" i="8"/>
  <c r="AA111" i="8"/>
  <c r="AA115" i="8"/>
  <c r="AA12" i="8"/>
  <c r="AA16" i="8"/>
  <c r="AA20" i="8"/>
  <c r="AA24" i="8"/>
  <c r="AA28" i="8"/>
  <c r="X31" i="8"/>
  <c r="X35" i="8"/>
  <c r="X39" i="8"/>
  <c r="X43" i="8"/>
  <c r="X47" i="8"/>
  <c r="X51" i="8"/>
  <c r="X55" i="8"/>
  <c r="X59" i="8"/>
  <c r="X63" i="8"/>
  <c r="X67" i="8"/>
  <c r="X71" i="8"/>
  <c r="X75" i="8"/>
  <c r="X79" i="8"/>
  <c r="X83" i="8"/>
  <c r="X87" i="8"/>
  <c r="X91" i="8"/>
  <c r="X95" i="8"/>
  <c r="X99" i="8"/>
  <c r="X103" i="8"/>
  <c r="X107" i="8"/>
  <c r="X111" i="8"/>
  <c r="X115" i="8"/>
  <c r="X10" i="8"/>
  <c r="X15" i="8"/>
  <c r="X19" i="8"/>
  <c r="X23" i="8"/>
  <c r="X27" i="8"/>
  <c r="AA32" i="8"/>
  <c r="AA36" i="8"/>
  <c r="AA40" i="8"/>
  <c r="AA44" i="8"/>
  <c r="AA48" i="8"/>
  <c r="AA52" i="8"/>
  <c r="AA56" i="8"/>
  <c r="AA60" i="8"/>
  <c r="AA64" i="8"/>
  <c r="AA68" i="8"/>
  <c r="AA72" i="8"/>
  <c r="AA76" i="8"/>
  <c r="AA80" i="8"/>
  <c r="AA84" i="8"/>
  <c r="AA88" i="8"/>
  <c r="AA92" i="8"/>
  <c r="AA96" i="8"/>
  <c r="AA100" i="8"/>
  <c r="AA104" i="8"/>
  <c r="AA108" i="8"/>
  <c r="AA112" i="8"/>
  <c r="AA116" i="8"/>
  <c r="AA13" i="8"/>
  <c r="AA17" i="8"/>
  <c r="AA21" i="8"/>
  <c r="AA25" i="8"/>
  <c r="AA10" i="8"/>
  <c r="X32" i="8"/>
  <c r="X36" i="8"/>
  <c r="X40" i="8"/>
  <c r="X44" i="8"/>
  <c r="AA33" i="8"/>
  <c r="AA49" i="8"/>
  <c r="AA65" i="8"/>
  <c r="AA81" i="8"/>
  <c r="AA97" i="8"/>
  <c r="AA113" i="8"/>
  <c r="AA22" i="8"/>
  <c r="X37" i="8"/>
  <c r="X49" i="8"/>
  <c r="X57" i="8"/>
  <c r="X65" i="8"/>
  <c r="X73" i="8"/>
  <c r="X81" i="8"/>
  <c r="X89" i="8"/>
  <c r="X97" i="8"/>
  <c r="X105" i="8"/>
  <c r="X113" i="8"/>
  <c r="X13" i="8"/>
  <c r="X21" i="8"/>
  <c r="X76" i="8"/>
  <c r="X92" i="8"/>
  <c r="X108" i="8"/>
  <c r="X116" i="8"/>
  <c r="X16" i="8"/>
  <c r="AA61" i="8"/>
  <c r="AA109" i="8"/>
  <c r="X33" i="8"/>
  <c r="X56" i="8"/>
  <c r="X80" i="8"/>
  <c r="X96" i="8"/>
  <c r="X112" i="8"/>
  <c r="X11" i="8"/>
  <c r="AA37" i="8"/>
  <c r="AA53" i="8"/>
  <c r="AA69" i="8"/>
  <c r="AA85" i="8"/>
  <c r="AA101" i="8"/>
  <c r="AA29" i="8"/>
  <c r="AA26" i="8"/>
  <c r="X41" i="8"/>
  <c r="X52" i="8"/>
  <c r="X60" i="8"/>
  <c r="X68" i="8"/>
  <c r="X84" i="8"/>
  <c r="X100" i="8"/>
  <c r="X24" i="8"/>
  <c r="AA93" i="8"/>
  <c r="X64" i="8"/>
  <c r="X88" i="8"/>
  <c r="X12" i="8"/>
  <c r="AA41" i="8"/>
  <c r="AA57" i="8"/>
  <c r="AA73" i="8"/>
  <c r="AA89" i="8"/>
  <c r="AA105" i="8"/>
  <c r="AA14" i="8"/>
  <c r="X45" i="8"/>
  <c r="X53" i="8"/>
  <c r="X61" i="8"/>
  <c r="X69" i="8"/>
  <c r="X77" i="8"/>
  <c r="X85" i="8"/>
  <c r="X93" i="8"/>
  <c r="X101" i="8"/>
  <c r="X109" i="8"/>
  <c r="X29" i="8"/>
  <c r="X17" i="8"/>
  <c r="X25" i="8"/>
  <c r="AA45" i="8"/>
  <c r="AA77" i="8"/>
  <c r="AA18" i="8"/>
  <c r="X48" i="8"/>
  <c r="X72" i="8"/>
  <c r="X104" i="8"/>
  <c r="X20" i="8"/>
  <c r="Z12" i="8"/>
  <c r="Z16" i="8"/>
  <c r="Z20" i="8"/>
  <c r="Z24" i="8"/>
  <c r="Z28" i="8"/>
  <c r="Z32" i="8"/>
  <c r="Z36" i="8"/>
  <c r="Z40" i="8"/>
  <c r="Z44" i="8"/>
  <c r="Z48" i="8"/>
  <c r="Z52" i="8"/>
  <c r="Z56" i="8"/>
  <c r="Z60" i="8"/>
  <c r="Z64" i="8"/>
  <c r="Z68" i="8"/>
  <c r="Z72" i="8"/>
  <c r="Z76" i="8"/>
  <c r="Z80" i="8"/>
  <c r="Z84" i="8"/>
  <c r="Z88" i="8"/>
  <c r="Z92" i="8"/>
  <c r="Z96" i="8"/>
  <c r="Z100" i="8"/>
  <c r="Z104" i="8"/>
  <c r="Z108" i="8"/>
  <c r="Z112" i="8"/>
  <c r="Z116" i="8"/>
  <c r="W11" i="8"/>
  <c r="W15" i="8"/>
  <c r="W19" i="8"/>
  <c r="W23" i="8"/>
  <c r="Z13" i="8"/>
  <c r="Z17" i="8"/>
  <c r="Z21" i="8"/>
  <c r="Z25" i="8"/>
  <c r="Z29" i="8"/>
  <c r="Z33" i="8"/>
  <c r="Z37" i="8"/>
  <c r="Z41" i="8"/>
  <c r="Z45" i="8"/>
  <c r="Z49" i="8"/>
  <c r="Z53" i="8"/>
  <c r="Z57" i="8"/>
  <c r="Z61" i="8"/>
  <c r="Z65" i="8"/>
  <c r="Z69" i="8"/>
  <c r="Z73" i="8"/>
  <c r="Z77" i="8"/>
  <c r="Z81" i="8"/>
  <c r="Z85" i="8"/>
  <c r="Z89" i="8"/>
  <c r="Z93" i="8"/>
  <c r="Z97" i="8"/>
  <c r="Z101" i="8"/>
  <c r="Z105" i="8"/>
  <c r="Z109" i="8"/>
  <c r="Z113" i="8"/>
  <c r="Z10" i="8"/>
  <c r="W12" i="8"/>
  <c r="W16" i="8"/>
  <c r="W20" i="8"/>
  <c r="W24" i="8"/>
  <c r="Z14" i="8"/>
  <c r="Z18" i="8"/>
  <c r="Z22" i="8"/>
  <c r="Z26" i="8"/>
  <c r="Z30" i="8"/>
  <c r="Z34" i="8"/>
  <c r="Z38" i="8"/>
  <c r="Z42" i="8"/>
  <c r="Z46" i="8"/>
  <c r="Z50" i="8"/>
  <c r="Z54" i="8"/>
  <c r="Z58" i="8"/>
  <c r="Z62" i="8"/>
  <c r="Z66" i="8"/>
  <c r="Z70" i="8"/>
  <c r="Z74" i="8"/>
  <c r="Z78" i="8"/>
  <c r="Z82" i="8"/>
  <c r="Z86" i="8"/>
  <c r="Z90" i="8"/>
  <c r="Z94" i="8"/>
  <c r="Z98" i="8"/>
  <c r="Z102" i="8"/>
  <c r="Z106" i="8"/>
  <c r="Z110" i="8"/>
  <c r="Z114" i="8"/>
  <c r="W13" i="8"/>
  <c r="W17" i="8"/>
  <c r="W21" i="8"/>
  <c r="W25" i="8"/>
  <c r="Z19" i="8"/>
  <c r="Z35" i="8"/>
  <c r="Z51" i="8"/>
  <c r="Z67" i="8"/>
  <c r="Z83" i="8"/>
  <c r="Z99" i="8"/>
  <c r="Z115" i="8"/>
  <c r="W18" i="8"/>
  <c r="W28" i="8"/>
  <c r="W32" i="8"/>
  <c r="W36" i="8"/>
  <c r="W40" i="8"/>
  <c r="W44" i="8"/>
  <c r="W48" i="8"/>
  <c r="W52" i="8"/>
  <c r="W56" i="8"/>
  <c r="W60" i="8"/>
  <c r="W64" i="8"/>
  <c r="W68" i="8"/>
  <c r="W72" i="8"/>
  <c r="W76" i="8"/>
  <c r="W80" i="8"/>
  <c r="W84" i="8"/>
  <c r="W88" i="8"/>
  <c r="W92" i="8"/>
  <c r="W96" i="8"/>
  <c r="W100" i="8"/>
  <c r="W104" i="8"/>
  <c r="W108" i="8"/>
  <c r="W112" i="8"/>
  <c r="W116" i="8"/>
  <c r="Z79" i="8"/>
  <c r="W35" i="8"/>
  <c r="W47" i="8"/>
  <c r="W63" i="8"/>
  <c r="W75" i="8"/>
  <c r="W91" i="8"/>
  <c r="W103" i="8"/>
  <c r="W115" i="8"/>
  <c r="Z23" i="8"/>
  <c r="Z39" i="8"/>
  <c r="Z55" i="8"/>
  <c r="Z71" i="8"/>
  <c r="Z87" i="8"/>
  <c r="Z103" i="8"/>
  <c r="W22" i="8"/>
  <c r="W29" i="8"/>
  <c r="W33" i="8"/>
  <c r="W37" i="8"/>
  <c r="W41" i="8"/>
  <c r="W45" i="8"/>
  <c r="W49" i="8"/>
  <c r="W53" i="8"/>
  <c r="W57" i="8"/>
  <c r="W61" i="8"/>
  <c r="W65" i="8"/>
  <c r="W69" i="8"/>
  <c r="W73" i="8"/>
  <c r="W77" i="8"/>
  <c r="W81" i="8"/>
  <c r="W85" i="8"/>
  <c r="W89" i="8"/>
  <c r="W93" i="8"/>
  <c r="W97" i="8"/>
  <c r="W101" i="8"/>
  <c r="W105" i="8"/>
  <c r="W109" i="8"/>
  <c r="W113" i="8"/>
  <c r="W10" i="8"/>
  <c r="Z15" i="8"/>
  <c r="Z63" i="8"/>
  <c r="Z111" i="8"/>
  <c r="W27" i="8"/>
  <c r="W39" i="8"/>
  <c r="W51" i="8"/>
  <c r="W67" i="8"/>
  <c r="W79" i="8"/>
  <c r="W95" i="8"/>
  <c r="W111" i="8"/>
  <c r="Z11" i="8"/>
  <c r="Z27" i="8"/>
  <c r="Z43" i="8"/>
  <c r="Z59" i="8"/>
  <c r="Z75" i="8"/>
  <c r="Z91" i="8"/>
  <c r="Z107" i="8"/>
  <c r="W26" i="8"/>
  <c r="W30" i="8"/>
  <c r="W34" i="8"/>
  <c r="W38" i="8"/>
  <c r="W42" i="8"/>
  <c r="W46" i="8"/>
  <c r="W50" i="8"/>
  <c r="W54" i="8"/>
  <c r="W58" i="8"/>
  <c r="W62" i="8"/>
  <c r="W66" i="8"/>
  <c r="W70" i="8"/>
  <c r="W74" i="8"/>
  <c r="W78" i="8"/>
  <c r="W82" i="8"/>
  <c r="W86" i="8"/>
  <c r="W90" i="8"/>
  <c r="W94" i="8"/>
  <c r="W98" i="8"/>
  <c r="W102" i="8"/>
  <c r="W106" i="8"/>
  <c r="W110" i="8"/>
  <c r="W114" i="8"/>
  <c r="Z31" i="8"/>
  <c r="Z47" i="8"/>
  <c r="Z95" i="8"/>
  <c r="W14" i="8"/>
  <c r="W31" i="8"/>
  <c r="W43" i="8"/>
  <c r="W55" i="8"/>
  <c r="W59" i="8"/>
  <c r="W71" i="8"/>
  <c r="W83" i="8"/>
  <c r="W87" i="8"/>
  <c r="W99" i="8"/>
  <c r="W107" i="8"/>
  <c r="AK4" i="8" l="1"/>
  <c r="AR35" i="8"/>
  <c r="Z226" i="3"/>
  <c r="Z93" i="3"/>
  <c r="Z231" i="3"/>
  <c r="Z240" i="3"/>
  <c r="Z56" i="3"/>
  <c r="Z334" i="3"/>
  <c r="Z60" i="3"/>
  <c r="Z201" i="3"/>
  <c r="Z362" i="3"/>
  <c r="Z158" i="3"/>
  <c r="Z69" i="3"/>
  <c r="Z36" i="3"/>
  <c r="Z127" i="3"/>
  <c r="Z29" i="3"/>
  <c r="Z303" i="3"/>
  <c r="Z308" i="3"/>
  <c r="Z191" i="3"/>
  <c r="Z43" i="3"/>
  <c r="Z302" i="3"/>
  <c r="Z22" i="3"/>
  <c r="Z354" i="3"/>
  <c r="Z159" i="3"/>
  <c r="Z152" i="3"/>
  <c r="Z329" i="3"/>
  <c r="Z46" i="3"/>
  <c r="Z25" i="3"/>
  <c r="Z44" i="3"/>
  <c r="Z200" i="3"/>
  <c r="Z140" i="3"/>
  <c r="Z48" i="3"/>
  <c r="Z32" i="3"/>
  <c r="Z199" i="3"/>
  <c r="Z185" i="3"/>
  <c r="Z145" i="3"/>
  <c r="Z14" i="3"/>
  <c r="Z181" i="3"/>
  <c r="Z72" i="3"/>
  <c r="Z358" i="3"/>
  <c r="Z88" i="3"/>
  <c r="Z246" i="3"/>
  <c r="Z393" i="3"/>
  <c r="Z21" i="3"/>
  <c r="Z192" i="3"/>
  <c r="Z375" i="3"/>
  <c r="Z170" i="3"/>
  <c r="Z304" i="3"/>
  <c r="Z338" i="3"/>
  <c r="Z129" i="3"/>
  <c r="Z328" i="3"/>
  <c r="Z20" i="3"/>
  <c r="Z335" i="3"/>
  <c r="Z54" i="3"/>
  <c r="Z289" i="3"/>
  <c r="Z64" i="3"/>
  <c r="Z392" i="3"/>
  <c r="Z47" i="3"/>
  <c r="Z53" i="3"/>
  <c r="Z135" i="3"/>
  <c r="Z342" i="3"/>
  <c r="Z364" i="3"/>
  <c r="Z321" i="3"/>
  <c r="Z261" i="3"/>
  <c r="Z223" i="3"/>
  <c r="Z348" i="3"/>
  <c r="Z263" i="3"/>
  <c r="Z384" i="3"/>
  <c r="Z84" i="3"/>
  <c r="Z73" i="3"/>
  <c r="Z241" i="3"/>
  <c r="Z283" i="3"/>
  <c r="Z370" i="3"/>
  <c r="Z96" i="3"/>
  <c r="Z254" i="3"/>
  <c r="Z356" i="3"/>
  <c r="Z143" i="3"/>
  <c r="Z182" i="3"/>
  <c r="Z327" i="3"/>
  <c r="Z97" i="3"/>
  <c r="Z292" i="3"/>
  <c r="Z359" i="3"/>
  <c r="Z330" i="3"/>
  <c r="Z221" i="3"/>
  <c r="Z169" i="3"/>
  <c r="Z144" i="3"/>
  <c r="Z218" i="3"/>
  <c r="Z30" i="3"/>
  <c r="Z161" i="3"/>
  <c r="Z275" i="3"/>
  <c r="Z123" i="3"/>
  <c r="Z189" i="3"/>
  <c r="Z117" i="3"/>
  <c r="Z33" i="3"/>
  <c r="Z381" i="3"/>
  <c r="Z371" i="3"/>
  <c r="Z205" i="3"/>
  <c r="Z398" i="3"/>
  <c r="Z113" i="3"/>
  <c r="Z367" i="3"/>
  <c r="Z49" i="3"/>
  <c r="Z207" i="3"/>
  <c r="Z186" i="3"/>
  <c r="Z150" i="3"/>
  <c r="Z153" i="3"/>
  <c r="Z314" i="3"/>
  <c r="Z104" i="3"/>
  <c r="Z377" i="3"/>
  <c r="Z166" i="3"/>
  <c r="Z12" i="3"/>
  <c r="Z38" i="3"/>
  <c r="Z80" i="3"/>
  <c r="Z142" i="3"/>
  <c r="Z178" i="3"/>
  <c r="Z163" i="3"/>
  <c r="Z267" i="3"/>
  <c r="Z171" i="3"/>
  <c r="Z65" i="3"/>
  <c r="Z31" i="3"/>
  <c r="Z151" i="3"/>
  <c r="Z295" i="3"/>
  <c r="Z174" i="3"/>
  <c r="Z345" i="3"/>
  <c r="Z286" i="3"/>
  <c r="AS3" i="3"/>
  <c r="Z319" i="3"/>
  <c r="Z311" i="3"/>
  <c r="Z396" i="3"/>
  <c r="Z224" i="3"/>
  <c r="Z139" i="3"/>
  <c r="Z78" i="3"/>
  <c r="Z212" i="3"/>
  <c r="Z253" i="3"/>
  <c r="Z119" i="3"/>
  <c r="Z258" i="3"/>
  <c r="Z59" i="3"/>
  <c r="Z68" i="3"/>
  <c r="Z299" i="3"/>
  <c r="Z18" i="3"/>
  <c r="Z282" i="3"/>
  <c r="Z74" i="3"/>
  <c r="Z238" i="3"/>
  <c r="Z118" i="3"/>
  <c r="Z271" i="3"/>
  <c r="Z208" i="3"/>
  <c r="Z307" i="3"/>
  <c r="Z10" i="3"/>
  <c r="Z173" i="3"/>
  <c r="Z278" i="3"/>
  <c r="Z351" i="3"/>
  <c r="Z297" i="3"/>
  <c r="Z273" i="3"/>
  <c r="Z101" i="3"/>
  <c r="Z316" i="3"/>
  <c r="Z369" i="3"/>
  <c r="Z341" i="3"/>
  <c r="Z383" i="3"/>
  <c r="Z389" i="3"/>
  <c r="Z379" i="3"/>
  <c r="Z156" i="3"/>
  <c r="Z125" i="3"/>
  <c r="Z323" i="3"/>
  <c r="Z66" i="3"/>
  <c r="Z344" i="3"/>
  <c r="Z211" i="3"/>
  <c r="Z251" i="3"/>
  <c r="Z61" i="3"/>
  <c r="Z85" i="3"/>
  <c r="Z79" i="3"/>
  <c r="Z230" i="3"/>
  <c r="Z272" i="3"/>
  <c r="Z23" i="3"/>
  <c r="Z99" i="3"/>
  <c r="Z120" i="3"/>
  <c r="Z300" i="3"/>
  <c r="Z391" i="3"/>
  <c r="Z386" i="3"/>
  <c r="Z256" i="3"/>
  <c r="Z390" i="3"/>
  <c r="Z107" i="3"/>
  <c r="Z27" i="3"/>
  <c r="Z24" i="3"/>
  <c r="AU3" i="3"/>
  <c r="Z233" i="3"/>
  <c r="Z394" i="3"/>
  <c r="Z395" i="3"/>
  <c r="Z333" i="3"/>
  <c r="Z337" i="3"/>
  <c r="Z193" i="3"/>
  <c r="Z284" i="3"/>
  <c r="Z155" i="3"/>
  <c r="Z252" i="3"/>
  <c r="Z203" i="3"/>
  <c r="Z243" i="3"/>
  <c r="Z213" i="3"/>
  <c r="Z214" i="3"/>
  <c r="Z15" i="3"/>
  <c r="Z325" i="3"/>
  <c r="Z90" i="3"/>
  <c r="Z70" i="3"/>
  <c r="Z228" i="3"/>
  <c r="Z285" i="3"/>
  <c r="Z167" i="3"/>
  <c r="Z347" i="3"/>
  <c r="Z312" i="3"/>
  <c r="Z236" i="3"/>
  <c r="Z108" i="3"/>
  <c r="Z17" i="3"/>
  <c r="Z188" i="3"/>
  <c r="Z100" i="3"/>
  <c r="Z137" i="3"/>
  <c r="Z172" i="3"/>
  <c r="Z353" i="3"/>
  <c r="Z388" i="3"/>
  <c r="Z324" i="3"/>
  <c r="Z87" i="3"/>
  <c r="Z16" i="3"/>
  <c r="Z331" i="3"/>
  <c r="Z176" i="3"/>
  <c r="Z34" i="3"/>
  <c r="Z237" i="3"/>
  <c r="Z291" i="3"/>
  <c r="Z360" i="3"/>
  <c r="Z124" i="3"/>
  <c r="Z350" i="3"/>
  <c r="Z71" i="3"/>
  <c r="Z194" i="3"/>
  <c r="Z51" i="3"/>
  <c r="Z365" i="3"/>
  <c r="Z115" i="3"/>
  <c r="Z198" i="3"/>
  <c r="Z320" i="3"/>
  <c r="Z11" i="3"/>
  <c r="Z352" i="3"/>
  <c r="Z102" i="3"/>
  <c r="Z277" i="3"/>
  <c r="Z37" i="3"/>
  <c r="Z220" i="3"/>
  <c r="Z276" i="3"/>
  <c r="Z52" i="3"/>
  <c r="Z133" i="3"/>
  <c r="Z40" i="3"/>
  <c r="Z190" i="3"/>
  <c r="Z164" i="3"/>
  <c r="Z336" i="3"/>
  <c r="Z287" i="3"/>
  <c r="Z204" i="3"/>
  <c r="Z247" i="3"/>
  <c r="Z290" i="3"/>
  <c r="Z202" i="3"/>
  <c r="Z399" i="3"/>
  <c r="Z294" i="3"/>
  <c r="Z322" i="3"/>
  <c r="Z343" i="3"/>
  <c r="Z13" i="3"/>
  <c r="Z103" i="3"/>
  <c r="Z222" i="3"/>
  <c r="Z242" i="3"/>
  <c r="Z76" i="3"/>
  <c r="Z318" i="3"/>
  <c r="Z209" i="3"/>
  <c r="Z89" i="3"/>
  <c r="Z148" i="3"/>
  <c r="Z75" i="3"/>
  <c r="Z368" i="3"/>
  <c r="Z162" i="3"/>
  <c r="Z305" i="3"/>
  <c r="Z326" i="3"/>
  <c r="Z372" i="3"/>
  <c r="Z110" i="3"/>
  <c r="Z217" i="3"/>
  <c r="Z106" i="3"/>
  <c r="Z332" i="3"/>
  <c r="Z92" i="3"/>
  <c r="Z382" i="3"/>
  <c r="Z266" i="3"/>
  <c r="Z67" i="3"/>
  <c r="Z234" i="3"/>
  <c r="Z136" i="3"/>
  <c r="Z355" i="3"/>
  <c r="Z376" i="3"/>
  <c r="Z157" i="3"/>
  <c r="Z366" i="3"/>
  <c r="Z280" i="3"/>
  <c r="Z146" i="3"/>
  <c r="Z183" i="3"/>
  <c r="Z400" i="3"/>
  <c r="Z62" i="3"/>
  <c r="Z165" i="3"/>
  <c r="Z229" i="3"/>
  <c r="Z141" i="3"/>
  <c r="Z225" i="3"/>
  <c r="Z397" i="3"/>
  <c r="Z82" i="3"/>
  <c r="Z175" i="3"/>
  <c r="Z264" i="3"/>
  <c r="Z219" i="3"/>
  <c r="Z245" i="3"/>
  <c r="Z81" i="3"/>
  <c r="Z227" i="3"/>
  <c r="Z50" i="3"/>
  <c r="Z385" i="3"/>
  <c r="Z260" i="3"/>
  <c r="Z55" i="3"/>
  <c r="Z346" i="3"/>
  <c r="Z215" i="3"/>
  <c r="Z274" i="3"/>
  <c r="Z315" i="3"/>
  <c r="Z310" i="3"/>
  <c r="Z116" i="3"/>
  <c r="Z380" i="3"/>
  <c r="Z91" i="3"/>
  <c r="Z269" i="3"/>
  <c r="Z114" i="3"/>
  <c r="Z235" i="3"/>
  <c r="Z249" i="3"/>
  <c r="Z349" i="3"/>
  <c r="Z177" i="3"/>
  <c r="Z301" i="3"/>
  <c r="Z373" i="3"/>
  <c r="Z180" i="3"/>
  <c r="Z281" i="3"/>
  <c r="Z268" i="3"/>
  <c r="Z160" i="3"/>
  <c r="Z168" i="3"/>
  <c r="Z122" i="3"/>
  <c r="Z95" i="3"/>
  <c r="Z111" i="3"/>
  <c r="Z147" i="3"/>
  <c r="Z132" i="3"/>
  <c r="AR3" i="3"/>
  <c r="Z154" i="3"/>
  <c r="Z42" i="3"/>
  <c r="Z262" i="3"/>
  <c r="Z86" i="3"/>
  <c r="Z138" i="3"/>
  <c r="Z58" i="3"/>
  <c r="Z363" i="3"/>
  <c r="Z126" i="3"/>
  <c r="Z57" i="3"/>
  <c r="Z179" i="3"/>
  <c r="Z357" i="3"/>
  <c r="Z128" i="3"/>
  <c r="Z216" i="3"/>
  <c r="Z378" i="3"/>
  <c r="Z293" i="3"/>
  <c r="Z83" i="3"/>
  <c r="Z250" i="3"/>
  <c r="Z270" i="3"/>
  <c r="Z206" i="3"/>
  <c r="Z131" i="3"/>
  <c r="Z232" i="3"/>
  <c r="Z98" i="3"/>
  <c r="Z77" i="3"/>
  <c r="Z187" i="3"/>
  <c r="Z26" i="3"/>
  <c r="Z298" i="3"/>
  <c r="Z265" i="3"/>
  <c r="Z105" i="3"/>
  <c r="Z41" i="3"/>
  <c r="Z257" i="3"/>
  <c r="Z317" i="3"/>
  <c r="Z259" i="3"/>
  <c r="Z28" i="3"/>
  <c r="Z374" i="3"/>
  <c r="Z134" i="3"/>
  <c r="Z94" i="3"/>
  <c r="Z196" i="3"/>
  <c r="Z279" i="3"/>
  <c r="Z184" i="3"/>
  <c r="Z63" i="3"/>
  <c r="Z339" i="3"/>
  <c r="Z361" i="3"/>
  <c r="Z306" i="3"/>
  <c r="Z109" i="3"/>
  <c r="Z387" i="3"/>
  <c r="Z195" i="3"/>
  <c r="Z313" i="3"/>
  <c r="Z19" i="3"/>
  <c r="Z309" i="3"/>
  <c r="Z121" i="3"/>
  <c r="Z296" i="3"/>
  <c r="Z45" i="3"/>
  <c r="Z130" i="3"/>
  <c r="Z340" i="3"/>
  <c r="Z112" i="3"/>
  <c r="Z248" i="3"/>
  <c r="Z288" i="3"/>
  <c r="Z35" i="3"/>
  <c r="Z149" i="3"/>
  <c r="Z39" i="3"/>
  <c r="Z210" i="3"/>
  <c r="Z255" i="3"/>
  <c r="Z244" i="3"/>
  <c r="Z197" i="3"/>
  <c r="Z239" i="3"/>
  <c r="M4" i="5"/>
  <c r="H4" i="5"/>
  <c r="I4" i="5" s="1"/>
  <c r="L4" i="5"/>
  <c r="E5" i="2"/>
  <c r="AL3" i="3"/>
  <c r="AN3" i="3" s="1"/>
  <c r="G5" i="2" l="1"/>
  <c r="U5" i="2" s="1"/>
  <c r="Q2" i="2"/>
  <c r="D95" i="2" s="1"/>
  <c r="D22" i="2" l="1"/>
  <c r="D44" i="2"/>
  <c r="D135" i="2"/>
  <c r="D52" i="2"/>
  <c r="F5" i="2"/>
  <c r="D226" i="2"/>
  <c r="D28" i="2"/>
  <c r="D205" i="2"/>
  <c r="D232" i="2"/>
  <c r="D105" i="2"/>
  <c r="D158" i="2"/>
  <c r="D121" i="2"/>
  <c r="D11" i="2"/>
  <c r="D214" i="2"/>
  <c r="D193" i="2"/>
  <c r="D168" i="2"/>
  <c r="D170" i="2"/>
  <c r="D35" i="2"/>
  <c r="D162" i="2"/>
  <c r="D77" i="2"/>
  <c r="D187" i="2"/>
  <c r="D239" i="2"/>
  <c r="D30" i="2"/>
  <c r="D176" i="2"/>
  <c r="D200" i="2"/>
  <c r="D150" i="2"/>
  <c r="D129" i="2"/>
  <c r="D104" i="2"/>
  <c r="D197" i="2"/>
  <c r="D219" i="2"/>
  <c r="D98" i="2"/>
  <c r="D13" i="2"/>
  <c r="D154" i="2"/>
  <c r="D167" i="2"/>
  <c r="D201" i="2"/>
  <c r="D112" i="2"/>
  <c r="D123" i="2"/>
  <c r="D173" i="2"/>
  <c r="D240" i="2"/>
  <c r="D207" i="2"/>
  <c r="D171" i="2"/>
  <c r="D86" i="2"/>
  <c r="D65" i="2"/>
  <c r="D40" i="2"/>
  <c r="D21" i="2"/>
  <c r="D183" i="2"/>
  <c r="D34" i="2"/>
  <c r="D180" i="2"/>
  <c r="D220" i="2"/>
  <c r="D222" i="2"/>
  <c r="D137" i="2"/>
  <c r="D218" i="2"/>
  <c r="D164" i="2"/>
  <c r="D126" i="2"/>
  <c r="D42" i="2"/>
  <c r="D71" i="2"/>
  <c r="D227" i="2"/>
  <c r="D106" i="2"/>
  <c r="D96" i="2"/>
  <c r="D151" i="2"/>
  <c r="D148" i="2"/>
  <c r="D60" i="2"/>
  <c r="S5" i="2"/>
  <c r="B5" i="2" s="1"/>
  <c r="B101" i="2" s="1"/>
  <c r="D241" i="2"/>
  <c r="D210" i="2"/>
  <c r="D175" i="2"/>
  <c r="D15" i="2"/>
  <c r="D163" i="2"/>
  <c r="D58" i="2"/>
  <c r="D80" i="2"/>
  <c r="D159" i="2"/>
  <c r="D216" i="2"/>
  <c r="D189" i="2"/>
  <c r="D142" i="2"/>
  <c r="D225" i="2"/>
  <c r="D194" i="2"/>
  <c r="D111" i="2"/>
  <c r="D181" i="2"/>
  <c r="D141" i="2"/>
  <c r="D116" i="2"/>
  <c r="D213" i="2"/>
  <c r="D203" i="2"/>
  <c r="D94" i="2"/>
  <c r="D73" i="2"/>
  <c r="D48" i="2"/>
  <c r="D85" i="2"/>
  <c r="B112" i="2"/>
  <c r="D198" i="2"/>
  <c r="D177" i="2"/>
  <c r="D152" i="2"/>
  <c r="D122" i="2"/>
  <c r="D191" i="2"/>
  <c r="D146" i="2"/>
  <c r="D125" i="2"/>
  <c r="D100" i="2"/>
  <c r="D165" i="2"/>
  <c r="D139" i="2"/>
  <c r="D78" i="2"/>
  <c r="D57" i="2"/>
  <c r="D115" i="2"/>
  <c r="D182" i="2"/>
  <c r="D161" i="2"/>
  <c r="D136" i="2"/>
  <c r="D74" i="2"/>
  <c r="D127" i="2"/>
  <c r="D130" i="2"/>
  <c r="D109" i="2"/>
  <c r="D84" i="2"/>
  <c r="D101" i="2"/>
  <c r="D75" i="2"/>
  <c r="D62" i="2"/>
  <c r="D41" i="2"/>
  <c r="D16" i="2"/>
  <c r="D236" i="2"/>
  <c r="D156" i="2"/>
  <c r="D143" i="2"/>
  <c r="D134" i="2"/>
  <c r="D113" i="2"/>
  <c r="D88" i="2"/>
  <c r="D149" i="2"/>
  <c r="D155" i="2"/>
  <c r="D82" i="2"/>
  <c r="D61" i="2"/>
  <c r="D36" i="2"/>
  <c r="D172" i="2"/>
  <c r="D103" i="2"/>
  <c r="D14" i="2"/>
  <c r="D224" i="2"/>
  <c r="D79" i="2"/>
  <c r="D118" i="2"/>
  <c r="D97" i="2"/>
  <c r="D72" i="2"/>
  <c r="D117" i="2"/>
  <c r="D91" i="2"/>
  <c r="D66" i="2"/>
  <c r="D45" i="2"/>
  <c r="D20" i="2"/>
  <c r="D124" i="2"/>
  <c r="D39" i="2"/>
  <c r="D233" i="2"/>
  <c r="D208" i="2"/>
  <c r="D59" i="2"/>
  <c r="H5" i="2"/>
  <c r="D12" i="2"/>
  <c r="D31" i="2"/>
  <c r="D186" i="2"/>
  <c r="D53" i="2"/>
  <c r="D166" i="2"/>
  <c r="D209" i="2"/>
  <c r="D184" i="2"/>
  <c r="D56" i="2"/>
  <c r="D26" i="2"/>
  <c r="D99" i="2"/>
  <c r="D178" i="2"/>
  <c r="D221" i="2"/>
  <c r="D93" i="2"/>
  <c r="D132" i="2"/>
  <c r="D202" i="2"/>
  <c r="D76" i="2"/>
  <c r="D231" i="2"/>
  <c r="D46" i="2"/>
  <c r="D89" i="2"/>
  <c r="D128" i="2"/>
  <c r="D87" i="2"/>
  <c r="D133" i="2"/>
  <c r="D32" i="2"/>
  <c r="D229" i="2"/>
  <c r="D108" i="2"/>
  <c r="D102" i="2"/>
  <c r="D81" i="2"/>
  <c r="D120" i="2"/>
  <c r="D234" i="2"/>
  <c r="D92" i="2"/>
  <c r="D27" i="2"/>
  <c r="D114" i="2"/>
  <c r="D157" i="2"/>
  <c r="D196" i="2"/>
  <c r="D67" i="2"/>
  <c r="D37" i="2"/>
  <c r="D47" i="2"/>
  <c r="D174" i="2"/>
  <c r="D217" i="2"/>
  <c r="D25" i="2"/>
  <c r="D64" i="2"/>
  <c r="D90" i="2"/>
  <c r="D51" i="2"/>
  <c r="D235" i="2"/>
  <c r="D199" i="2"/>
  <c r="D230" i="2"/>
  <c r="D38" i="2"/>
  <c r="D145" i="2"/>
  <c r="D17" i="2"/>
  <c r="D223" i="2"/>
  <c r="D69" i="2"/>
  <c r="D63" i="2"/>
  <c r="D242" i="2"/>
  <c r="D50" i="2"/>
  <c r="D29" i="2"/>
  <c r="D68" i="2"/>
  <c r="D19" i="2"/>
  <c r="D83" i="2"/>
  <c r="D238" i="2"/>
  <c r="D110" i="2"/>
  <c r="D153" i="2"/>
  <c r="D192" i="2"/>
  <c r="D195" i="2"/>
  <c r="D188" i="2"/>
  <c r="D107" i="2"/>
  <c r="D70" i="2"/>
  <c r="D49" i="2"/>
  <c r="D24" i="2"/>
  <c r="D204" i="2"/>
  <c r="D119" i="2"/>
  <c r="D18" i="2"/>
  <c r="D228" i="2"/>
  <c r="D215" i="2"/>
  <c r="D211" i="2"/>
  <c r="D206" i="2"/>
  <c r="D185" i="2"/>
  <c r="D160" i="2"/>
  <c r="D43" i="2"/>
  <c r="D54" i="2"/>
  <c r="D33" i="2"/>
  <c r="D131" i="2"/>
  <c r="D140" i="2"/>
  <c r="D55" i="2"/>
  <c r="D237" i="2"/>
  <c r="D212" i="2"/>
  <c r="D23" i="2"/>
  <c r="D147" i="2"/>
  <c r="D190" i="2"/>
  <c r="D169" i="2"/>
  <c r="D144" i="2"/>
  <c r="D138" i="2"/>
  <c r="D179" i="2"/>
  <c r="B122" i="2" l="1"/>
  <c r="B100" i="2"/>
  <c r="C13" i="2"/>
  <c r="B94" i="2"/>
  <c r="B124" i="2"/>
  <c r="C107" i="2"/>
  <c r="C54" i="2"/>
  <c r="B238" i="2"/>
  <c r="C46" i="2"/>
  <c r="C25" i="2"/>
  <c r="C237" i="2"/>
  <c r="B209" i="2"/>
  <c r="B203" i="2"/>
  <c r="B40" i="2"/>
  <c r="C170" i="2"/>
  <c r="B207" i="2"/>
  <c r="B63" i="2"/>
  <c r="C63" i="2"/>
  <c r="C205" i="2"/>
  <c r="C58" i="2"/>
  <c r="B50" i="2"/>
  <c r="C38" i="2"/>
  <c r="B103" i="2"/>
  <c r="C154" i="2"/>
  <c r="C27" i="2"/>
  <c r="B151" i="2"/>
  <c r="B33" i="2"/>
  <c r="B194" i="2"/>
  <c r="B38" i="2"/>
  <c r="B224" i="2"/>
  <c r="C40" i="2"/>
  <c r="B82" i="2"/>
  <c r="B54" i="2"/>
  <c r="C49" i="2"/>
  <c r="C33" i="2"/>
  <c r="C36" i="2"/>
  <c r="B236" i="2"/>
  <c r="C132" i="2"/>
  <c r="B89" i="2"/>
  <c r="C29" i="2"/>
  <c r="C240" i="2"/>
  <c r="C137" i="2"/>
  <c r="C161" i="2"/>
  <c r="B118" i="2"/>
  <c r="B145" i="2"/>
  <c r="C31" i="2"/>
  <c r="C176" i="2"/>
  <c r="C64" i="2"/>
  <c r="B158" i="2"/>
  <c r="C55" i="2"/>
  <c r="B58" i="2"/>
  <c r="B116" i="2"/>
  <c r="B150" i="2"/>
  <c r="C199" i="2"/>
  <c r="C111" i="2"/>
  <c r="C163" i="2"/>
  <c r="B241" i="2"/>
  <c r="B113" i="2"/>
  <c r="C68" i="2"/>
  <c r="C213" i="2"/>
  <c r="C215" i="2"/>
  <c r="C219" i="2"/>
  <c r="B221" i="2"/>
  <c r="C140" i="2"/>
  <c r="C57" i="2"/>
  <c r="C34" i="2"/>
  <c r="C110" i="2"/>
  <c r="C235" i="2"/>
  <c r="B18" i="2"/>
  <c r="B76" i="2"/>
  <c r="B109" i="2"/>
  <c r="B211" i="2"/>
  <c r="C116" i="2"/>
  <c r="C174" i="2"/>
  <c r="C232" i="2"/>
  <c r="C103" i="2"/>
  <c r="C195" i="2"/>
  <c r="C241" i="2"/>
  <c r="B146" i="2"/>
  <c r="C44" i="2"/>
  <c r="B129" i="2"/>
  <c r="B225" i="2"/>
  <c r="C66" i="2"/>
  <c r="B102" i="2"/>
  <c r="C193" i="2"/>
  <c r="C131" i="2"/>
  <c r="B152" i="2"/>
  <c r="B212" i="2"/>
  <c r="B131" i="2"/>
  <c r="C69" i="2"/>
  <c r="C41" i="2"/>
  <c r="B206" i="2"/>
  <c r="B163" i="2"/>
  <c r="B88" i="2"/>
  <c r="C233" i="2"/>
  <c r="C105" i="2"/>
  <c r="C201" i="2"/>
  <c r="C89" i="2"/>
  <c r="B240" i="2"/>
  <c r="B14" i="2"/>
  <c r="B84" i="2"/>
  <c r="C81" i="2"/>
  <c r="C203" i="2"/>
  <c r="C86" i="2"/>
  <c r="B147" i="2"/>
  <c r="B108" i="2"/>
  <c r="B202" i="2"/>
  <c r="C177" i="2"/>
  <c r="C171" i="2"/>
  <c r="C231" i="2"/>
  <c r="C15" i="2"/>
  <c r="C224" i="2"/>
  <c r="B165" i="2"/>
  <c r="B62" i="2"/>
  <c r="B179" i="2"/>
  <c r="C150" i="2"/>
  <c r="C16" i="2"/>
  <c r="B24" i="2"/>
  <c r="B126" i="2"/>
  <c r="C209" i="2"/>
  <c r="B71" i="2"/>
  <c r="C118" i="2"/>
  <c r="C238" i="2"/>
  <c r="B162" i="2"/>
  <c r="B128" i="2"/>
  <c r="B44" i="2"/>
  <c r="C67" i="2"/>
  <c r="B60" i="2"/>
  <c r="C96" i="2"/>
  <c r="B67" i="2"/>
  <c r="B219" i="2"/>
  <c r="B45" i="2"/>
  <c r="B105" i="2"/>
  <c r="B125" i="2"/>
  <c r="C102" i="2"/>
  <c r="C192" i="2"/>
  <c r="B27" i="2"/>
  <c r="B120" i="2"/>
  <c r="C100" i="2"/>
  <c r="B17" i="2"/>
  <c r="B11" i="2"/>
  <c r="C127" i="2"/>
  <c r="C230" i="2"/>
  <c r="B51" i="2"/>
  <c r="B65" i="2"/>
  <c r="B182" i="2"/>
  <c r="C47" i="2"/>
  <c r="C123" i="2"/>
  <c r="C136" i="2"/>
  <c r="C204" i="2"/>
  <c r="B75" i="2"/>
  <c r="B197" i="2"/>
  <c r="B69" i="2"/>
  <c r="C162" i="2"/>
  <c r="C172" i="2"/>
  <c r="C202" i="2"/>
  <c r="C196" i="2"/>
  <c r="C214" i="2"/>
  <c r="C153" i="2"/>
  <c r="C133" i="2"/>
  <c r="B123" i="2"/>
  <c r="B42" i="2"/>
  <c r="C62" i="2"/>
  <c r="C188" i="2"/>
  <c r="B106" i="2"/>
  <c r="C148" i="2"/>
  <c r="B216" i="2"/>
  <c r="B92" i="2"/>
  <c r="C11" i="2"/>
  <c r="C108" i="2"/>
  <c r="C169" i="2"/>
  <c r="B78" i="2"/>
  <c r="B99" i="2"/>
  <c r="B26" i="2"/>
  <c r="C143" i="2"/>
  <c r="B35" i="2"/>
  <c r="B57" i="2"/>
  <c r="B148" i="2"/>
  <c r="C211" i="2"/>
  <c r="B19" i="2"/>
  <c r="C83" i="2"/>
  <c r="B16" i="2"/>
  <c r="C125" i="2"/>
  <c r="B43" i="2"/>
  <c r="B74" i="2"/>
  <c r="B217" i="2"/>
  <c r="B22" i="2"/>
  <c r="B161" i="2"/>
  <c r="C179" i="2"/>
  <c r="B174" i="2"/>
  <c r="B31" i="2"/>
  <c r="B155" i="2"/>
  <c r="C56" i="2"/>
  <c r="B177" i="2"/>
  <c r="C112" i="2"/>
  <c r="C21" i="2"/>
  <c r="B201" i="2"/>
  <c r="C52" i="2"/>
  <c r="B132" i="2"/>
  <c r="C190" i="2"/>
  <c r="C138" i="2"/>
  <c r="B181" i="2"/>
  <c r="C160" i="2"/>
  <c r="B204" i="2"/>
  <c r="B81" i="2"/>
  <c r="C45" i="2"/>
  <c r="B232" i="2"/>
  <c r="B111" i="2"/>
  <c r="C130" i="2"/>
  <c r="C223" i="2"/>
  <c r="B15" i="2"/>
  <c r="B214" i="2"/>
  <c r="B107" i="2"/>
  <c r="B21" i="2"/>
  <c r="B228" i="2"/>
  <c r="B183" i="2"/>
  <c r="B188" i="2"/>
  <c r="B164" i="2"/>
  <c r="B157" i="2"/>
  <c r="B13" i="2"/>
  <c r="B185" i="2"/>
  <c r="C17" i="2"/>
  <c r="B230" i="2"/>
  <c r="C212" i="2"/>
  <c r="C28" i="2"/>
  <c r="C157" i="2"/>
  <c r="B186" i="2"/>
  <c r="C92" i="2"/>
  <c r="B46" i="2"/>
  <c r="B130" i="2"/>
  <c r="C53" i="2"/>
  <c r="C222" i="2"/>
  <c r="B110" i="2"/>
  <c r="C85" i="2"/>
  <c r="B223" i="2"/>
  <c r="B143" i="2"/>
  <c r="C181" i="2"/>
  <c r="C115" i="2"/>
  <c r="B119" i="2"/>
  <c r="C61" i="2"/>
  <c r="C198" i="2"/>
  <c r="B95" i="2"/>
  <c r="B208" i="2"/>
  <c r="B176" i="2"/>
  <c r="C134" i="2"/>
  <c r="C128" i="2"/>
  <c r="B218" i="2"/>
  <c r="C95" i="2"/>
  <c r="C149" i="2"/>
  <c r="B160" i="2"/>
  <c r="C242" i="2"/>
  <c r="C183" i="2"/>
  <c r="B55" i="2"/>
  <c r="B56" i="2"/>
  <c r="B144" i="2"/>
  <c r="C106" i="2"/>
  <c r="B200" i="2"/>
  <c r="C114" i="2"/>
  <c r="B140" i="2"/>
  <c r="B233" i="2"/>
  <c r="B53" i="2"/>
  <c r="B239" i="2"/>
  <c r="C200" i="2"/>
  <c r="C104" i="2"/>
  <c r="C78" i="2"/>
  <c r="C84" i="2"/>
  <c r="C194" i="2"/>
  <c r="B227" i="2"/>
  <c r="C229" i="2"/>
  <c r="C94" i="2"/>
  <c r="C228" i="2"/>
  <c r="C120" i="2"/>
  <c r="C98" i="2"/>
  <c r="B48" i="2"/>
  <c r="C76" i="2"/>
  <c r="C109" i="2"/>
  <c r="B104" i="2"/>
  <c r="B23" i="2"/>
  <c r="C37" i="2"/>
  <c r="C48" i="2"/>
  <c r="B210" i="2"/>
  <c r="B229" i="2"/>
  <c r="B137" i="2"/>
  <c r="C167" i="2"/>
  <c r="B231" i="2"/>
  <c r="C87" i="2"/>
  <c r="B196" i="2"/>
  <c r="C234" i="2"/>
  <c r="B77" i="2"/>
  <c r="C144" i="2"/>
  <c r="C217" i="2"/>
  <c r="C26" i="2"/>
  <c r="C155" i="2"/>
  <c r="B195" i="2"/>
  <c r="C51" i="2"/>
  <c r="B96" i="2"/>
  <c r="C210" i="2"/>
  <c r="B47" i="2"/>
  <c r="B32" i="2"/>
  <c r="B156" i="2"/>
  <c r="C70" i="2"/>
  <c r="C97" i="2"/>
  <c r="C124" i="2"/>
  <c r="C18" i="2"/>
  <c r="C126" i="2"/>
  <c r="B222" i="2"/>
  <c r="B187" i="2"/>
  <c r="C80" i="2"/>
  <c r="C186" i="2"/>
  <c r="C145" i="2"/>
  <c r="B149" i="2"/>
  <c r="C185" i="2"/>
  <c r="C220" i="2"/>
  <c r="C65" i="2"/>
  <c r="C141" i="2"/>
  <c r="C19" i="2"/>
  <c r="B159" i="2"/>
  <c r="B215" i="2"/>
  <c r="B141" i="2"/>
  <c r="B136" i="2"/>
  <c r="B117" i="2"/>
  <c r="C20" i="2"/>
  <c r="C77" i="2"/>
  <c r="B87" i="2"/>
  <c r="B12" i="2"/>
  <c r="B220" i="2"/>
  <c r="B139" i="2"/>
  <c r="B97" i="2"/>
  <c r="B235" i="2"/>
  <c r="C35" i="2"/>
  <c r="C197" i="2"/>
  <c r="B184" i="2"/>
  <c r="B39" i="2"/>
  <c r="B91" i="2"/>
  <c r="B59" i="2"/>
  <c r="B172" i="2"/>
  <c r="C142" i="2"/>
  <c r="B115" i="2"/>
  <c r="B73" i="2"/>
  <c r="B237" i="2"/>
  <c r="C175" i="2"/>
  <c r="B192" i="2"/>
  <c r="C164" i="2"/>
  <c r="B142" i="2"/>
  <c r="C75" i="2"/>
  <c r="B168" i="2"/>
  <c r="C71" i="2"/>
  <c r="C82" i="2"/>
  <c r="C146" i="2"/>
  <c r="C189" i="2"/>
  <c r="C30" i="2"/>
  <c r="B133" i="2"/>
  <c r="C119" i="2"/>
  <c r="B98" i="2"/>
  <c r="C72" i="2"/>
  <c r="C178" i="2"/>
  <c r="C88" i="2"/>
  <c r="C12" i="2"/>
  <c r="B191" i="2"/>
  <c r="B135" i="2"/>
  <c r="C239" i="2"/>
  <c r="B93" i="2"/>
  <c r="C135" i="2"/>
  <c r="C23" i="2"/>
  <c r="C206" i="2"/>
  <c r="C73" i="2"/>
  <c r="C121" i="2"/>
  <c r="B134" i="2"/>
  <c r="C151" i="2"/>
  <c r="B70" i="2"/>
  <c r="C32" i="2"/>
  <c r="C117" i="2"/>
  <c r="B193" i="2"/>
  <c r="B72" i="2"/>
  <c r="B178" i="2"/>
  <c r="B28" i="2"/>
  <c r="B49" i="2"/>
  <c r="B199" i="2"/>
  <c r="C122" i="2"/>
  <c r="B213" i="2"/>
  <c r="B189" i="2"/>
  <c r="C99" i="2"/>
  <c r="C42" i="2"/>
  <c r="B242" i="2"/>
  <c r="C93" i="2"/>
  <c r="C236" i="2"/>
  <c r="C182" i="2"/>
  <c r="C101" i="2"/>
  <c r="C221" i="2"/>
  <c r="C79" i="2"/>
  <c r="C216" i="2"/>
  <c r="C156" i="2"/>
  <c r="C24" i="2"/>
  <c r="B167" i="2"/>
  <c r="C227" i="2"/>
  <c r="C60" i="2"/>
  <c r="B154" i="2"/>
  <c r="C168" i="2"/>
  <c r="B61" i="2"/>
  <c r="C74" i="2"/>
  <c r="C159" i="2"/>
  <c r="C139" i="2"/>
  <c r="C91" i="2"/>
  <c r="C152" i="2"/>
  <c r="C184" i="2"/>
  <c r="C208" i="2"/>
  <c r="B64" i="2"/>
  <c r="C43" i="2"/>
  <c r="B169" i="2"/>
  <c r="B30" i="2"/>
  <c r="C191" i="2"/>
  <c r="B127" i="2"/>
  <c r="B175" i="2"/>
  <c r="C14" i="2"/>
  <c r="B83" i="2"/>
  <c r="B20" i="2"/>
  <c r="C165" i="2"/>
  <c r="C113" i="2"/>
  <c r="B34" i="2"/>
  <c r="B66" i="2"/>
  <c r="B173" i="2"/>
  <c r="C22" i="2"/>
  <c r="B166" i="2"/>
  <c r="C218" i="2"/>
  <c r="C147" i="2"/>
  <c r="B86" i="2"/>
  <c r="C59" i="2"/>
  <c r="C225" i="2"/>
  <c r="B85" i="2"/>
  <c r="C39" i="2"/>
  <c r="B114" i="2"/>
  <c r="C207" i="2"/>
  <c r="B52" i="2"/>
  <c r="C90" i="2"/>
  <c r="B198" i="2"/>
  <c r="C166" i="2"/>
  <c r="B29" i="2"/>
  <c r="B234" i="2"/>
  <c r="B138" i="2"/>
  <c r="B90" i="2"/>
  <c r="B37" i="2"/>
  <c r="B171" i="2"/>
  <c r="B36" i="2"/>
  <c r="B68" i="2"/>
  <c r="B153" i="2"/>
  <c r="B121" i="2"/>
  <c r="B226" i="2"/>
  <c r="C173" i="2"/>
  <c r="B41" i="2"/>
  <c r="B25" i="2"/>
  <c r="B79" i="2"/>
  <c r="B170" i="2"/>
  <c r="C180" i="2"/>
  <c r="B80" i="2"/>
  <c r="C158" i="2"/>
  <c r="C226" i="2"/>
  <c r="C187" i="2"/>
  <c r="C129" i="2"/>
  <c r="B180" i="2"/>
  <c r="B205" i="2"/>
  <c r="B190" i="2"/>
  <c r="C50" i="2"/>
</calcChain>
</file>

<file path=xl/sharedStrings.xml><?xml version="1.0" encoding="utf-8"?>
<sst xmlns="http://schemas.openxmlformats.org/spreadsheetml/2006/main" count="871" uniqueCount="397">
  <si>
    <t>D</t>
  </si>
  <si>
    <t>c1</t>
  </si>
  <si>
    <t>c2</t>
  </si>
  <si>
    <t>t</t>
  </si>
  <si>
    <t>y</t>
  </si>
  <si>
    <t>A</t>
  </si>
  <si>
    <t>lambda</t>
  </si>
  <si>
    <t>N</t>
  </si>
  <si>
    <t>fazisszog</t>
  </si>
  <si>
    <t>N0</t>
  </si>
  <si>
    <t>N01</t>
  </si>
  <si>
    <t>N02</t>
  </si>
  <si>
    <t>N05</t>
  </si>
  <si>
    <t>N07</t>
  </si>
  <si>
    <t>N1</t>
  </si>
  <si>
    <t>F0</t>
  </si>
  <si>
    <t>F01</t>
  </si>
  <si>
    <t>F02</t>
  </si>
  <si>
    <t>F05</t>
  </si>
  <si>
    <t>F07</t>
  </si>
  <si>
    <t>F1</t>
  </si>
  <si>
    <t>yrez</t>
  </si>
  <si>
    <t>y0</t>
  </si>
  <si>
    <t>v0</t>
  </si>
  <si>
    <t>B</t>
  </si>
  <si>
    <t>K</t>
  </si>
  <si>
    <t>y1</t>
  </si>
  <si>
    <t>a2</t>
  </si>
  <si>
    <t>v2</t>
  </si>
  <si>
    <t>eDalfat</t>
  </si>
  <si>
    <t>nt</t>
  </si>
  <si>
    <t>vmax</t>
  </si>
  <si>
    <t>amax</t>
  </si>
  <si>
    <t>T</t>
  </si>
  <si>
    <t>s</t>
  </si>
  <si>
    <t>m</t>
  </si>
  <si>
    <t>k</t>
  </si>
  <si>
    <t>w</t>
  </si>
  <si>
    <t>Ko</t>
  </si>
  <si>
    <t>a</t>
  </si>
  <si>
    <t>b</t>
  </si>
  <si>
    <t>c</t>
  </si>
  <si>
    <t>b2-4ac</t>
  </si>
  <si>
    <t>gyok</t>
  </si>
  <si>
    <t>l1</t>
  </si>
  <si>
    <t>l2</t>
  </si>
  <si>
    <t>kg</t>
  </si>
  <si>
    <t>Ns/m</t>
  </si>
  <si>
    <t>1/s</t>
  </si>
  <si>
    <t>N/m</t>
  </si>
  <si>
    <t>m/s</t>
  </si>
  <si>
    <t>Fmax[N]</t>
  </si>
  <si>
    <t>f [Hz]</t>
  </si>
  <si>
    <t>T [s]</t>
  </si>
  <si>
    <t>yo</t>
  </si>
  <si>
    <t>vo</t>
  </si>
  <si>
    <t>Fo</t>
  </si>
  <si>
    <t xml:space="preserve"> [Hz]</t>
  </si>
  <si>
    <t>Log. Dektr</t>
  </si>
  <si>
    <t>Megjegyzések:</t>
  </si>
  <si>
    <t>csak a sárgával kijejölt cellákba szabad írni</t>
  </si>
  <si>
    <t>Az idő oszlopot szükség szerint változtatni kell,</t>
  </si>
  <si>
    <t>hogy a megfelelő diagrammok látszódjanak</t>
  </si>
  <si>
    <t>megjegyzés:</t>
  </si>
  <si>
    <t>sajátfrekvencia</t>
  </si>
  <si>
    <t>Relatív csillapítás</t>
  </si>
  <si>
    <t>D &gt; 1</t>
  </si>
  <si>
    <t>kezdőértékek</t>
  </si>
  <si>
    <t xml:space="preserve">kitérés idő függvény </t>
  </si>
  <si>
    <t>idő</t>
  </si>
  <si>
    <t>burkológörbékkel</t>
  </si>
  <si>
    <t>adott N-hez tartozó lambda</t>
  </si>
  <si>
    <t>D=0</t>
  </si>
  <si>
    <t>D=01</t>
  </si>
  <si>
    <t>D=02</t>
  </si>
  <si>
    <t>D=05</t>
  </si>
  <si>
    <t>D=07</t>
  </si>
  <si>
    <t>D=1</t>
  </si>
  <si>
    <t>Elmélet:</t>
  </si>
  <si>
    <t>Egyszabadságfokú lengőrendszer alapismeretei:</t>
  </si>
  <si>
    <t>Elmélet</t>
  </si>
  <si>
    <t>Útgerjesztés</t>
  </si>
  <si>
    <t>c=1/s</t>
  </si>
  <si>
    <t>mm/N</t>
  </si>
  <si>
    <t>rugóállandó átszámítása</t>
  </si>
  <si>
    <t>rugómerevség (s)</t>
  </si>
  <si>
    <t>rad</t>
  </si>
  <si>
    <t>rugóállandó ( c )</t>
  </si>
  <si>
    <r>
      <rPr>
        <b/>
        <sz val="12"/>
        <rFont val="Arial"/>
        <family val="2"/>
        <charset val="238"/>
      </rPr>
      <t>F</t>
    </r>
    <r>
      <rPr>
        <b/>
        <vertAlign val="subscript"/>
        <sz val="12"/>
        <rFont val="Arial"/>
        <family val="2"/>
        <charset val="238"/>
      </rPr>
      <t>0</t>
    </r>
    <r>
      <rPr>
        <b/>
        <sz val="12"/>
        <rFont val="Arial"/>
        <family val="2"/>
        <charset val="238"/>
      </rPr>
      <t xml:space="preserve"> =s*y</t>
    </r>
    <r>
      <rPr>
        <b/>
        <vertAlign val="subscript"/>
        <sz val="12"/>
        <rFont val="Arial"/>
        <family val="2"/>
        <charset val="238"/>
      </rPr>
      <t>0g</t>
    </r>
    <r>
      <rPr>
        <b/>
        <sz val="12"/>
        <rFont val="Arial"/>
        <family val="2"/>
        <charset val="238"/>
      </rPr>
      <t xml:space="preserve"> helyettesítést használjuk</t>
    </r>
  </si>
  <si>
    <t>elmélet!</t>
  </si>
  <si>
    <t>C</t>
  </si>
  <si>
    <t>E</t>
  </si>
  <si>
    <t>Előző fülön lévő megoldás az A és B esetre vonatkozik</t>
  </si>
  <si>
    <t>ez van a programban</t>
  </si>
  <si>
    <t>C eset</t>
  </si>
  <si>
    <t>D eset</t>
  </si>
  <si>
    <t>e</t>
  </si>
  <si>
    <t>N(D)</t>
  </si>
  <si>
    <t>K(A,B)</t>
  </si>
  <si>
    <t>K( C)</t>
  </si>
  <si>
    <t>N( C)</t>
  </si>
  <si>
    <t>K(D)</t>
  </si>
  <si>
    <t>K( E)</t>
  </si>
  <si>
    <t>N( E)</t>
  </si>
  <si>
    <t>E eset</t>
  </si>
  <si>
    <t>megfelelő helyre beírni!</t>
  </si>
  <si>
    <t>N(A, B)</t>
  </si>
  <si>
    <t>s számítása</t>
  </si>
  <si>
    <t>l</t>
  </si>
  <si>
    <r>
      <t>tg</t>
    </r>
    <r>
      <rPr>
        <b/>
        <sz val="10"/>
        <rFont val="Symbol"/>
        <family val="1"/>
        <charset val="2"/>
      </rPr>
      <t>j</t>
    </r>
  </si>
  <si>
    <t>j</t>
  </si>
  <si>
    <t>g</t>
  </si>
  <si>
    <t>L</t>
  </si>
  <si>
    <r>
      <t>m</t>
    </r>
    <r>
      <rPr>
        <b/>
        <vertAlign val="subscript"/>
        <sz val="10"/>
        <rFont val="Arial"/>
        <family val="2"/>
        <charset val="238"/>
      </rPr>
      <t>0</t>
    </r>
  </si>
  <si>
    <r>
      <t>y</t>
    </r>
    <r>
      <rPr>
        <b/>
        <vertAlign val="subscript"/>
        <sz val="10"/>
        <rFont val="Arial"/>
        <family val="2"/>
        <charset val="238"/>
      </rPr>
      <t>0</t>
    </r>
  </si>
  <si>
    <r>
      <rPr>
        <sz val="10"/>
        <rFont val="Symbol"/>
        <family val="1"/>
        <charset val="2"/>
      </rPr>
      <t>a</t>
    </r>
    <r>
      <rPr>
        <sz val="10"/>
        <rFont val="Arial"/>
        <family val="2"/>
        <charset val="238"/>
      </rPr>
      <t>=</t>
    </r>
    <r>
      <rPr>
        <sz val="10"/>
        <rFont val="Symbol"/>
        <family val="1"/>
        <charset val="2"/>
      </rPr>
      <t>w</t>
    </r>
  </si>
  <si>
    <t>átszámítás</t>
  </si>
  <si>
    <r>
      <t>y</t>
    </r>
    <r>
      <rPr>
        <vertAlign val="subscript"/>
        <sz val="10"/>
        <rFont val="Arial"/>
        <family val="2"/>
        <charset val="238"/>
      </rPr>
      <t>aperiodikus</t>
    </r>
  </si>
  <si>
    <t>rugóerő</t>
  </si>
  <si>
    <t>Energia</t>
  </si>
  <si>
    <t>-</t>
  </si>
  <si>
    <t>A, B, C, D ,E esetek egyben</t>
  </si>
  <si>
    <r>
      <t>m</t>
    </r>
    <r>
      <rPr>
        <b/>
        <vertAlign val="subscript"/>
        <sz val="10"/>
        <rFont val="Arial"/>
        <family val="2"/>
        <charset val="238"/>
      </rPr>
      <t>1</t>
    </r>
  </si>
  <si>
    <r>
      <t>y=e</t>
    </r>
    <r>
      <rPr>
        <vertAlign val="superscript"/>
        <sz val="16"/>
        <rFont val="Cambria"/>
        <family val="1"/>
        <charset val="238"/>
      </rPr>
      <t>-Da</t>
    </r>
    <r>
      <rPr>
        <vertAlign val="superscript"/>
        <sz val="16"/>
        <rFont val="Arial"/>
        <family val="2"/>
        <charset val="238"/>
      </rPr>
      <t>t</t>
    </r>
    <r>
      <rPr>
        <sz val="16"/>
        <rFont val="Arial"/>
        <family val="2"/>
        <charset val="238"/>
      </rPr>
      <t>(Acos(</t>
    </r>
    <r>
      <rPr>
        <sz val="16"/>
        <rFont val="Symbol"/>
        <family val="1"/>
        <charset val="2"/>
      </rPr>
      <t>g</t>
    </r>
    <r>
      <rPr>
        <sz val="16"/>
        <rFont val="Arial"/>
        <family val="2"/>
        <charset val="238"/>
      </rPr>
      <t>t)+Bsin(</t>
    </r>
    <r>
      <rPr>
        <sz val="16"/>
        <rFont val="Symbol"/>
        <family val="1"/>
        <charset val="2"/>
      </rPr>
      <t>g</t>
    </r>
    <r>
      <rPr>
        <sz val="16"/>
        <rFont val="Arial"/>
        <family val="2"/>
        <charset val="238"/>
      </rPr>
      <t>t)</t>
    </r>
  </si>
  <si>
    <t>y2 (A,B)</t>
  </si>
  <si>
    <t>yg</t>
  </si>
  <si>
    <t>Max rugóerő</t>
  </si>
  <si>
    <t>Max csillapító erő</t>
  </si>
  <si>
    <t>Max gerjesztő erő</t>
  </si>
  <si>
    <t>Fkmax[N]</t>
  </si>
  <si>
    <t>Fgmax[N]</t>
  </si>
  <si>
    <t>Angolszász területek jelölései</t>
  </si>
  <si>
    <t>k=c</t>
  </si>
  <si>
    <t>s=k</t>
  </si>
  <si>
    <r>
      <t>D=</t>
    </r>
    <r>
      <rPr>
        <b/>
        <sz val="14"/>
        <rFont val="Symbol"/>
        <family val="1"/>
        <charset val="2"/>
      </rPr>
      <t>x</t>
    </r>
  </si>
  <si>
    <r>
      <rPr>
        <b/>
        <sz val="14"/>
        <rFont val="Symbol"/>
        <family val="1"/>
        <charset val="2"/>
      </rPr>
      <t>a</t>
    </r>
    <r>
      <rPr>
        <b/>
        <sz val="14"/>
        <rFont val="Arial"/>
        <family val="2"/>
        <charset val="238"/>
      </rPr>
      <t>=</t>
    </r>
    <r>
      <rPr>
        <b/>
        <sz val="14"/>
        <rFont val="Symbol"/>
        <family val="1"/>
        <charset val="2"/>
      </rPr>
      <t>w</t>
    </r>
    <r>
      <rPr>
        <b/>
        <vertAlign val="subscript"/>
        <sz val="14"/>
        <rFont val="Arial"/>
        <family val="2"/>
        <charset val="238"/>
      </rPr>
      <t>0</t>
    </r>
  </si>
  <si>
    <r>
      <rPr>
        <b/>
        <sz val="14"/>
        <rFont val="Symbol"/>
        <family val="1"/>
        <charset val="2"/>
      </rPr>
      <t>L</t>
    </r>
    <r>
      <rPr>
        <b/>
        <sz val="14"/>
        <rFont val="Arial"/>
        <family val="2"/>
        <charset val="238"/>
      </rPr>
      <t>=</t>
    </r>
    <r>
      <rPr>
        <b/>
        <sz val="14"/>
        <rFont val="Symbol"/>
        <family val="1"/>
        <charset val="2"/>
      </rPr>
      <t>d</t>
    </r>
  </si>
  <si>
    <r>
      <rPr>
        <b/>
        <sz val="14"/>
        <rFont val="Symbol"/>
        <family val="1"/>
        <charset val="2"/>
      </rPr>
      <t>l</t>
    </r>
    <r>
      <rPr>
        <b/>
        <sz val="14"/>
        <rFont val="Arial"/>
        <family val="2"/>
        <charset val="238"/>
      </rPr>
      <t>=r</t>
    </r>
  </si>
  <si>
    <r>
      <t>N</t>
    </r>
    <r>
      <rPr>
        <vertAlign val="subscript"/>
        <sz val="10"/>
        <rFont val="Arial"/>
        <family val="2"/>
        <charset val="238"/>
      </rPr>
      <t>max</t>
    </r>
  </si>
  <si>
    <t>A és B</t>
  </si>
  <si>
    <t>Fázisszög</t>
  </si>
  <si>
    <r>
      <t>y=e</t>
    </r>
    <r>
      <rPr>
        <b/>
        <vertAlign val="superscript"/>
        <sz val="18"/>
        <color rgb="FFFF0000"/>
        <rFont val="Cambria"/>
        <family val="1"/>
        <charset val="238"/>
      </rPr>
      <t>-Da</t>
    </r>
    <r>
      <rPr>
        <b/>
        <vertAlign val="superscript"/>
        <sz val="18"/>
        <color rgb="FFFF0000"/>
        <rFont val="Arial"/>
        <family val="2"/>
        <charset val="238"/>
      </rPr>
      <t>t</t>
    </r>
    <r>
      <rPr>
        <b/>
        <sz val="18"/>
        <color rgb="FFFF0000"/>
        <rFont val="Arial"/>
        <family val="2"/>
        <charset val="238"/>
      </rPr>
      <t>(Acos(</t>
    </r>
    <r>
      <rPr>
        <b/>
        <sz val="18"/>
        <color rgb="FFFF0000"/>
        <rFont val="Symbol"/>
        <family val="1"/>
        <charset val="2"/>
      </rPr>
      <t>g</t>
    </r>
    <r>
      <rPr>
        <b/>
        <sz val="18"/>
        <color rgb="FFFF0000"/>
        <rFont val="Arial"/>
        <family val="2"/>
        <charset val="238"/>
      </rPr>
      <t>t)+Bsin(</t>
    </r>
    <r>
      <rPr>
        <b/>
        <sz val="18"/>
        <color rgb="FFFF0000"/>
        <rFont val="Symbol"/>
        <family val="1"/>
        <charset val="2"/>
      </rPr>
      <t>g</t>
    </r>
    <r>
      <rPr>
        <b/>
        <sz val="18"/>
        <color rgb="FFFF0000"/>
        <rFont val="Arial"/>
        <family val="2"/>
        <charset val="238"/>
      </rPr>
      <t>t)</t>
    </r>
  </si>
  <si>
    <r>
      <t>A=y</t>
    </r>
    <r>
      <rPr>
        <vertAlign val="subscript"/>
        <sz val="18"/>
        <color rgb="FFFF0000"/>
        <rFont val="Arial"/>
        <family val="2"/>
        <charset val="238"/>
      </rPr>
      <t>o</t>
    </r>
  </si>
  <si>
    <r>
      <t>tg</t>
    </r>
    <r>
      <rPr>
        <b/>
        <sz val="14"/>
        <rFont val="Symbol"/>
        <family val="1"/>
        <charset val="2"/>
      </rPr>
      <t>j</t>
    </r>
  </si>
  <si>
    <r>
      <rPr>
        <b/>
        <sz val="14"/>
        <rFont val="Symbol"/>
        <family val="1"/>
        <charset val="2"/>
      </rPr>
      <t>l</t>
    </r>
    <r>
      <rPr>
        <b/>
        <sz val="14"/>
        <rFont val="Arial"/>
        <family val="2"/>
        <charset val="238"/>
      </rPr>
      <t>1</t>
    </r>
  </si>
  <si>
    <r>
      <rPr>
        <b/>
        <sz val="14"/>
        <rFont val="Symbol"/>
        <family val="1"/>
        <charset val="2"/>
      </rPr>
      <t>l</t>
    </r>
    <r>
      <rPr>
        <b/>
        <sz val="14"/>
        <rFont val="Arial"/>
        <family val="2"/>
        <charset val="238"/>
      </rPr>
      <t>2</t>
    </r>
  </si>
  <si>
    <t>Elektromos analógia</t>
  </si>
  <si>
    <t>v</t>
  </si>
  <si>
    <t>R</t>
  </si>
  <si>
    <t>Q</t>
  </si>
  <si>
    <t>I</t>
  </si>
  <si>
    <r>
      <t>F</t>
    </r>
    <r>
      <rPr>
        <b/>
        <vertAlign val="subscript"/>
        <sz val="12"/>
        <rFont val="Arial"/>
        <family val="2"/>
        <charset val="238"/>
      </rPr>
      <t>g</t>
    </r>
  </si>
  <si>
    <r>
      <t>E</t>
    </r>
    <r>
      <rPr>
        <b/>
        <vertAlign val="subscript"/>
        <sz val="12"/>
        <rFont val="Arial"/>
        <family val="2"/>
        <charset val="238"/>
      </rPr>
      <t>0</t>
    </r>
  </si>
  <si>
    <r>
      <t>m/s</t>
    </r>
    <r>
      <rPr>
        <vertAlign val="superscript"/>
        <sz val="18"/>
        <rFont val="Arial"/>
        <family val="2"/>
        <charset val="238"/>
      </rPr>
      <t>2</t>
    </r>
  </si>
  <si>
    <r>
      <t>U</t>
    </r>
    <r>
      <rPr>
        <b/>
        <vertAlign val="subscript"/>
        <sz val="18"/>
        <rFont val="Arial"/>
        <family val="2"/>
        <charset val="238"/>
      </rPr>
      <t>max</t>
    </r>
    <r>
      <rPr>
        <b/>
        <sz val="18"/>
        <rFont val="Arial"/>
        <family val="2"/>
        <charset val="238"/>
      </rPr>
      <t xml:space="preserve"> [J]</t>
    </r>
  </si>
  <si>
    <t>A eset</t>
  </si>
  <si>
    <t>B eset</t>
  </si>
  <si>
    <t>A0</t>
  </si>
  <si>
    <t>A1</t>
  </si>
  <si>
    <t>A2</t>
  </si>
  <si>
    <t>A3</t>
  </si>
  <si>
    <t>A4</t>
  </si>
  <si>
    <t>A5</t>
  </si>
  <si>
    <t>A6</t>
  </si>
  <si>
    <t>i</t>
  </si>
  <si>
    <t>A7</t>
  </si>
  <si>
    <t>A8</t>
  </si>
  <si>
    <t>A9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</si>
  <si>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</si>
  <si>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</si>
  <si>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</si>
  <si>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</si>
  <si>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</si>
  <si>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</si>
  <si>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</si>
  <si>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</si>
  <si>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</si>
  <si>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</si>
  <si>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</si>
  <si>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</si>
  <si>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</si>
  <si>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1=mozog, 0=áll</t>
  </si>
  <si>
    <t>u</t>
  </si>
  <si>
    <t>Hz</t>
  </si>
  <si>
    <t>w2</t>
  </si>
  <si>
    <t>j2</t>
  </si>
  <si>
    <t>q1</t>
  </si>
  <si>
    <t>q2</t>
  </si>
  <si>
    <t>B1</t>
  </si>
  <si>
    <t>1. lépés</t>
  </si>
  <si>
    <t>2. lépés</t>
  </si>
  <si>
    <t>3. lépés</t>
  </si>
  <si>
    <t>4. lépés</t>
  </si>
  <si>
    <t>5. lépés</t>
  </si>
  <si>
    <t>Használja a megoldáshoz az EXCEL tábla megfelelő lapját!</t>
  </si>
  <si>
    <t>Használja a két függvény összegzése lapot!</t>
  </si>
  <si>
    <t>r</t>
  </si>
  <si>
    <t>n</t>
  </si>
  <si>
    <r>
      <t>I</t>
    </r>
    <r>
      <rPr>
        <b/>
        <vertAlign val="subscript"/>
        <sz val="14"/>
        <rFont val="Arial"/>
        <family val="2"/>
        <charset val="238"/>
      </rPr>
      <t>2</t>
    </r>
  </si>
  <si>
    <t>G</t>
  </si>
  <si>
    <t>Hajlító rezgések:</t>
  </si>
  <si>
    <t>Csavaró rezgések</t>
  </si>
  <si>
    <t>longitudinális rezgések</t>
  </si>
  <si>
    <t>csavaró rezgések</t>
  </si>
  <si>
    <t xml:space="preserve">a </t>
  </si>
  <si>
    <r>
      <rPr>
        <b/>
        <sz val="14"/>
        <rFont val="Symbol"/>
        <family val="1"/>
        <charset val="2"/>
      </rPr>
      <t>u</t>
    </r>
    <r>
      <rPr>
        <b/>
        <sz val="14"/>
        <rFont val="Arial"/>
        <family val="2"/>
        <charset val="238"/>
      </rPr>
      <t xml:space="preserve"> [Hz]</t>
    </r>
  </si>
  <si>
    <t>Kontinuum rezgések számítása</t>
  </si>
  <si>
    <t>Pa</t>
  </si>
  <si>
    <r>
      <t>i</t>
    </r>
    <r>
      <rPr>
        <vertAlign val="subscript"/>
        <sz val="10"/>
        <rFont val="Arial"/>
        <family val="2"/>
        <charset val="238"/>
      </rPr>
      <t>2</t>
    </r>
  </si>
  <si>
    <t>Hajlító rezgések</t>
  </si>
  <si>
    <r>
      <t>A</t>
    </r>
    <r>
      <rPr>
        <b/>
        <vertAlign val="subscript"/>
        <sz val="18"/>
        <rFont val="Arial"/>
        <family val="2"/>
        <charset val="238"/>
      </rPr>
      <t>0</t>
    </r>
  </si>
  <si>
    <r>
      <t>f</t>
    </r>
    <r>
      <rPr>
        <b/>
        <vertAlign val="subscript"/>
        <sz val="18"/>
        <rFont val="Arial"/>
        <family val="2"/>
        <charset val="238"/>
      </rPr>
      <t>0</t>
    </r>
    <r>
      <rPr>
        <b/>
        <sz val="18"/>
        <rFont val="Arial"/>
        <family val="2"/>
        <charset val="238"/>
      </rPr>
      <t>=y</t>
    </r>
    <r>
      <rPr>
        <b/>
        <vertAlign val="subscript"/>
        <sz val="18"/>
        <rFont val="Arial"/>
        <family val="2"/>
        <charset val="238"/>
      </rPr>
      <t>0</t>
    </r>
  </si>
  <si>
    <t>Másodfajú Lagrange egyenlet</t>
  </si>
  <si>
    <t>"Bonyolult" egyszabadságfokú lengőrendszer "redukálása" az alaprendszerre</t>
  </si>
  <si>
    <t>Mintapélda 2.</t>
  </si>
  <si>
    <t>Mintapélda 1.</t>
  </si>
  <si>
    <r>
      <t>Haszálat után</t>
    </r>
    <r>
      <rPr>
        <b/>
        <sz val="18"/>
        <color indexed="10"/>
        <rFont val="Arial"/>
        <family val="2"/>
        <charset val="238"/>
      </rPr>
      <t xml:space="preserve"> NE MENTSE</t>
    </r>
    <r>
      <rPr>
        <sz val="18"/>
        <rFont val="Arial"/>
        <family val="2"/>
        <charset val="238"/>
      </rPr>
      <t xml:space="preserve"> el a változásokat (zárja be a programot!)</t>
    </r>
  </si>
  <si>
    <t>S</t>
  </si>
  <si>
    <t>M</t>
  </si>
  <si>
    <t>q10</t>
  </si>
  <si>
    <t>F10</t>
  </si>
  <si>
    <t>w1</t>
  </si>
  <si>
    <t>q20</t>
  </si>
  <si>
    <t>F20</t>
  </si>
  <si>
    <t>det</t>
  </si>
  <si>
    <r>
      <rPr>
        <sz val="14"/>
        <color theme="1"/>
        <rFont val="Symbol"/>
        <family val="1"/>
        <charset val="2"/>
      </rPr>
      <t>a</t>
    </r>
    <r>
      <rPr>
        <vertAlign val="subscript"/>
        <sz val="14"/>
        <color theme="1"/>
        <rFont val="Calibri"/>
        <family val="2"/>
        <charset val="238"/>
      </rPr>
      <t>1</t>
    </r>
    <r>
      <rPr>
        <vertAlign val="superscript"/>
        <sz val="14"/>
        <color theme="1"/>
        <rFont val="Calibri"/>
        <family val="2"/>
        <charset val="238"/>
      </rPr>
      <t>2</t>
    </r>
  </si>
  <si>
    <r>
      <rPr>
        <sz val="14"/>
        <color theme="1"/>
        <rFont val="Symbol"/>
        <family val="1"/>
        <charset val="2"/>
      </rPr>
      <t>a</t>
    </r>
    <r>
      <rPr>
        <vertAlign val="subscript"/>
        <sz val="14"/>
        <color theme="1"/>
        <rFont val="Calibri"/>
        <family val="2"/>
        <charset val="238"/>
      </rPr>
      <t>1</t>
    </r>
  </si>
  <si>
    <r>
      <rPr>
        <sz val="14"/>
        <color theme="1"/>
        <rFont val="Symbol"/>
        <family val="1"/>
        <charset val="2"/>
      </rPr>
      <t>a</t>
    </r>
    <r>
      <rPr>
        <vertAlign val="subscript"/>
        <sz val="14"/>
        <color theme="1"/>
        <rFont val="Symbol"/>
        <family val="1"/>
        <charset val="2"/>
      </rPr>
      <t>2</t>
    </r>
    <r>
      <rPr>
        <vertAlign val="superscript"/>
        <sz val="14"/>
        <color theme="1"/>
        <rFont val="Calibri"/>
        <family val="2"/>
        <charset val="238"/>
      </rPr>
      <t>2</t>
    </r>
  </si>
  <si>
    <r>
      <rPr>
        <sz val="14"/>
        <color theme="1"/>
        <rFont val="Symbol"/>
        <family val="1"/>
        <charset val="2"/>
      </rPr>
      <t>a</t>
    </r>
    <r>
      <rPr>
        <vertAlign val="subscript"/>
        <sz val="14"/>
        <color theme="1"/>
        <rFont val="Calibri"/>
        <family val="2"/>
        <charset val="238"/>
      </rPr>
      <t>2</t>
    </r>
  </si>
  <si>
    <r>
      <t>det</t>
    </r>
    <r>
      <rPr>
        <sz val="11"/>
        <color theme="1"/>
        <rFont val="Symbol"/>
        <family val="1"/>
        <charset val="2"/>
      </rPr>
      <t>F</t>
    </r>
  </si>
  <si>
    <r>
      <rPr>
        <sz val="11"/>
        <color theme="1"/>
        <rFont val="Symbol"/>
        <family val="1"/>
        <charset val="2"/>
      </rPr>
      <t>f</t>
    </r>
    <r>
      <rPr>
        <sz val="11"/>
        <color theme="1"/>
        <rFont val="Calibri"/>
        <family val="2"/>
        <charset val="238"/>
      </rPr>
      <t>1*</t>
    </r>
  </si>
  <si>
    <r>
      <rPr>
        <sz val="11"/>
        <color theme="1"/>
        <rFont val="Symbol"/>
        <family val="1"/>
        <charset val="2"/>
      </rPr>
      <t>f</t>
    </r>
    <r>
      <rPr>
        <sz val="11"/>
        <color theme="1"/>
        <rFont val="Calibri"/>
        <family val="2"/>
        <charset val="238"/>
      </rPr>
      <t>2*</t>
    </r>
  </si>
  <si>
    <r>
      <t>det</t>
    </r>
    <r>
      <rPr>
        <sz val="11"/>
        <color theme="1"/>
        <rFont val="Symbol"/>
        <family val="1"/>
        <charset val="2"/>
      </rPr>
      <t>f*</t>
    </r>
  </si>
  <si>
    <r>
      <t>adj</t>
    </r>
    <r>
      <rPr>
        <sz val="11"/>
        <color theme="1"/>
        <rFont val="Symbol"/>
        <family val="1"/>
        <charset val="2"/>
      </rPr>
      <t>F*</t>
    </r>
  </si>
  <si>
    <t>b1</t>
  </si>
  <si>
    <r>
      <rPr>
        <b/>
        <sz val="11"/>
        <color theme="1"/>
        <rFont val="Symbol"/>
        <family val="1"/>
        <charset val="2"/>
      </rPr>
      <t>f</t>
    </r>
    <r>
      <rPr>
        <b/>
        <sz val="11"/>
        <color theme="1"/>
        <rFont val="Calibri"/>
        <family val="2"/>
        <charset val="238"/>
      </rPr>
      <t>1</t>
    </r>
  </si>
  <si>
    <r>
      <rPr>
        <b/>
        <sz val="11"/>
        <color theme="1"/>
        <rFont val="Symbol"/>
        <family val="1"/>
        <charset val="2"/>
      </rPr>
      <t>f</t>
    </r>
    <r>
      <rPr>
        <b/>
        <sz val="11"/>
        <color theme="1"/>
        <rFont val="Calibri"/>
        <family val="2"/>
        <charset val="238"/>
      </rPr>
      <t>2</t>
    </r>
  </si>
  <si>
    <t>b2</t>
  </si>
  <si>
    <r>
      <t>adj</t>
    </r>
    <r>
      <rPr>
        <b/>
        <sz val="11"/>
        <color theme="1"/>
        <rFont val="Symbol"/>
        <family val="1"/>
        <charset val="2"/>
      </rPr>
      <t>F</t>
    </r>
  </si>
  <si>
    <r>
      <rPr>
        <sz val="11"/>
        <color theme="1"/>
        <rFont val="Symbol"/>
        <family val="1"/>
        <charset val="2"/>
      </rPr>
      <t>F</t>
    </r>
    <r>
      <rPr>
        <vertAlign val="superscript"/>
        <sz val="11"/>
        <color theme="1"/>
        <rFont val="Calibri"/>
        <family val="2"/>
        <charset val="238"/>
      </rPr>
      <t>-1</t>
    </r>
  </si>
  <si>
    <r>
      <rPr>
        <b/>
        <sz val="11"/>
        <color theme="1"/>
        <rFont val="Symbol"/>
        <family val="1"/>
        <charset val="2"/>
      </rPr>
      <t>F</t>
    </r>
    <r>
      <rPr>
        <b/>
        <vertAlign val="superscript"/>
        <sz val="11"/>
        <color theme="1"/>
        <rFont val="Calibri"/>
        <family val="2"/>
        <charset val="238"/>
      </rPr>
      <t>-1</t>
    </r>
  </si>
  <si>
    <t>Y01</t>
  </si>
  <si>
    <t>M1</t>
  </si>
  <si>
    <t>S1</t>
  </si>
  <si>
    <t>K1</t>
  </si>
  <si>
    <t>P1</t>
  </si>
  <si>
    <t>Y1</t>
  </si>
  <si>
    <t>Y02</t>
  </si>
  <si>
    <t>M2</t>
  </si>
  <si>
    <t>S2</t>
  </si>
  <si>
    <t>K2</t>
  </si>
  <si>
    <t>P2</t>
  </si>
  <si>
    <t>Y2</t>
  </si>
  <si>
    <r>
      <t>det</t>
    </r>
    <r>
      <rPr>
        <b/>
        <sz val="11"/>
        <color theme="1"/>
        <rFont val="Symbol"/>
        <family val="1"/>
        <charset val="2"/>
      </rPr>
      <t>F</t>
    </r>
  </si>
  <si>
    <t>P10</t>
  </si>
  <si>
    <t>P20</t>
  </si>
  <si>
    <t>Csillapítatlan szabad rendszer adott indítási feltételek mellett</t>
  </si>
  <si>
    <t>Megoldás a csillapítatlan szabad rendszer lap alapján!</t>
  </si>
  <si>
    <t>Megoldás a csillapított szabad rendszer lap alapján!</t>
  </si>
  <si>
    <t>Megoldás a csillapított gerjesztett rendszer lap alapján!</t>
  </si>
  <si>
    <t>Megoldás a két függvény összegzése lap alapján!</t>
  </si>
  <si>
    <t>Megoldás a csillapított függvények előállítása lap alapján!</t>
  </si>
  <si>
    <r>
      <t>m</t>
    </r>
    <r>
      <rPr>
        <vertAlign val="superscript"/>
        <sz val="14"/>
        <rFont val="Arial"/>
        <family val="2"/>
        <charset val="238"/>
      </rPr>
      <t>2</t>
    </r>
  </si>
  <si>
    <r>
      <t>m</t>
    </r>
    <r>
      <rPr>
        <vertAlign val="superscript"/>
        <sz val="14"/>
        <rFont val="Arial"/>
        <family val="2"/>
        <charset val="238"/>
      </rPr>
      <t>4</t>
    </r>
  </si>
  <si>
    <r>
      <t>kg/m</t>
    </r>
    <r>
      <rPr>
        <vertAlign val="superscript"/>
        <sz val="14"/>
        <rFont val="Arial"/>
        <family val="2"/>
        <charset val="238"/>
      </rPr>
      <t>3</t>
    </r>
  </si>
  <si>
    <r>
      <rPr>
        <b/>
        <sz val="14"/>
        <rFont val="Symbol"/>
        <family val="1"/>
        <charset val="2"/>
      </rPr>
      <t>w</t>
    </r>
    <r>
      <rPr>
        <b/>
        <sz val="14"/>
        <rFont val="Arial"/>
        <family val="2"/>
        <charset val="238"/>
      </rPr>
      <t>1</t>
    </r>
  </si>
  <si>
    <r>
      <rPr>
        <b/>
        <sz val="14"/>
        <rFont val="Symbol"/>
        <family val="1"/>
        <charset val="2"/>
      </rPr>
      <t>j</t>
    </r>
    <r>
      <rPr>
        <b/>
        <sz val="14"/>
        <rFont val="Arial"/>
        <family val="2"/>
        <charset val="238"/>
      </rPr>
      <t>1</t>
    </r>
  </si>
  <si>
    <r>
      <t>A megfelelő q</t>
    </r>
    <r>
      <rPr>
        <b/>
        <vertAlign val="subscript"/>
        <sz val="14"/>
        <color rgb="FFFF0000"/>
        <rFont val="Arial"/>
        <family val="2"/>
        <charset val="238"/>
      </rPr>
      <t>1</t>
    </r>
    <r>
      <rPr>
        <b/>
        <sz val="14"/>
        <color rgb="FFFF0000"/>
        <rFont val="Arial"/>
        <family val="2"/>
        <charset val="238"/>
      </rPr>
      <t xml:space="preserve"> és q</t>
    </r>
    <r>
      <rPr>
        <b/>
        <vertAlign val="subscript"/>
        <sz val="14"/>
        <color rgb="FFFF0000"/>
        <rFont val="Arial"/>
        <family val="2"/>
        <charset val="238"/>
      </rPr>
      <t>2</t>
    </r>
    <r>
      <rPr>
        <b/>
        <sz val="14"/>
        <color rgb="FFFF0000"/>
        <rFont val="Arial"/>
        <family val="2"/>
        <charset val="238"/>
      </rPr>
      <t xml:space="preserve"> függvényeket be kell írni (módosítani) és végighúzni!</t>
    </r>
  </si>
  <si>
    <t>Lásd Modal analízis lépéseit!</t>
  </si>
  <si>
    <t>Csillapított szabad rendszer adott indítási feltételek mellett (adatok az előző lapról!)</t>
  </si>
  <si>
    <t>Csillapított gerjesztett rendszer (adatok az előző két lapról!)</t>
  </si>
  <si>
    <t>Megjegyzés:  Használja a lengésképekhez a SIKEREZ végeselemes programot!</t>
  </si>
  <si>
    <r>
      <t>y=Acos</t>
    </r>
    <r>
      <rPr>
        <b/>
        <sz val="18"/>
        <rFont val="Symbol"/>
        <family val="1"/>
        <charset val="2"/>
      </rPr>
      <t>a</t>
    </r>
    <r>
      <rPr>
        <b/>
        <sz val="18"/>
        <rFont val="Arial"/>
        <family val="2"/>
        <charset val="238"/>
      </rPr>
      <t>*t + Bsin</t>
    </r>
    <r>
      <rPr>
        <b/>
        <sz val="18"/>
        <rFont val="Symbol"/>
        <family val="1"/>
        <charset val="2"/>
      </rPr>
      <t>a</t>
    </r>
    <r>
      <rPr>
        <b/>
        <sz val="18"/>
        <rFont val="Arial"/>
        <family val="2"/>
        <charset val="238"/>
      </rPr>
      <t>*t=Ksin(</t>
    </r>
    <r>
      <rPr>
        <b/>
        <sz val="18"/>
        <rFont val="Symbol"/>
        <family val="1"/>
        <charset val="2"/>
      </rPr>
      <t>a</t>
    </r>
    <r>
      <rPr>
        <b/>
        <sz val="18"/>
        <rFont val="Arial"/>
        <family val="2"/>
        <charset val="238"/>
      </rPr>
      <t>*t+</t>
    </r>
    <r>
      <rPr>
        <b/>
        <sz val="18"/>
        <rFont val="Symbol"/>
        <family val="1"/>
        <charset val="2"/>
      </rPr>
      <t>e</t>
    </r>
    <r>
      <rPr>
        <b/>
        <sz val="18"/>
        <rFont val="Arial"/>
        <family val="2"/>
        <charset val="238"/>
      </rPr>
      <t>)</t>
    </r>
  </si>
  <si>
    <r>
      <t>q1=A1sin(</t>
    </r>
    <r>
      <rPr>
        <b/>
        <sz val="14"/>
        <color rgb="FFFF0000"/>
        <rFont val="Symbol"/>
        <family val="1"/>
        <charset val="2"/>
      </rPr>
      <t>w</t>
    </r>
    <r>
      <rPr>
        <b/>
        <sz val="14"/>
        <color rgb="FFFF0000"/>
        <rFont val="Arial"/>
        <family val="2"/>
        <charset val="238"/>
      </rPr>
      <t>1t+</t>
    </r>
    <r>
      <rPr>
        <b/>
        <sz val="14"/>
        <color rgb="FFFF0000"/>
        <rFont val="Symbol"/>
        <family val="1"/>
        <charset val="2"/>
      </rPr>
      <t>j</t>
    </r>
    <r>
      <rPr>
        <b/>
        <sz val="14"/>
        <color rgb="FFFF0000"/>
        <rFont val="Arial"/>
        <family val="2"/>
        <charset val="238"/>
      </rPr>
      <t>1)+A2sin(</t>
    </r>
    <r>
      <rPr>
        <b/>
        <sz val="14"/>
        <color rgb="FFFF0000"/>
        <rFont val="Symbol"/>
        <family val="1"/>
        <charset val="2"/>
      </rPr>
      <t>w</t>
    </r>
    <r>
      <rPr>
        <b/>
        <sz val="14"/>
        <color rgb="FFFF0000"/>
        <rFont val="Arial"/>
        <family val="2"/>
        <charset val="238"/>
      </rPr>
      <t>2t+</t>
    </r>
    <r>
      <rPr>
        <b/>
        <sz val="14"/>
        <color rgb="FFFF0000"/>
        <rFont val="Symbol"/>
        <family val="1"/>
        <charset val="2"/>
      </rPr>
      <t>j</t>
    </r>
    <r>
      <rPr>
        <b/>
        <sz val="14"/>
        <color rgb="FFFF0000"/>
        <rFont val="Arial"/>
        <family val="2"/>
        <charset val="238"/>
      </rPr>
      <t>2)</t>
    </r>
  </si>
  <si>
    <r>
      <t>q2=B1sin(</t>
    </r>
    <r>
      <rPr>
        <b/>
        <sz val="14"/>
        <color rgb="FFFF0000"/>
        <rFont val="Symbol"/>
        <family val="1"/>
        <charset val="2"/>
      </rPr>
      <t>w</t>
    </r>
    <r>
      <rPr>
        <b/>
        <sz val="14"/>
        <color rgb="FFFF0000"/>
        <rFont val="Arial"/>
        <family val="2"/>
        <charset val="238"/>
      </rPr>
      <t>1t+</t>
    </r>
    <r>
      <rPr>
        <b/>
        <sz val="14"/>
        <color rgb="FFFF0000"/>
        <rFont val="Symbol"/>
        <family val="1"/>
        <charset val="2"/>
      </rPr>
      <t>j</t>
    </r>
    <r>
      <rPr>
        <b/>
        <sz val="14"/>
        <color rgb="FFFF0000"/>
        <rFont val="Arial"/>
        <family val="2"/>
        <charset val="238"/>
      </rPr>
      <t>1)+B2sin(</t>
    </r>
    <r>
      <rPr>
        <b/>
        <sz val="14"/>
        <color rgb="FFFF0000"/>
        <rFont val="Symbol"/>
        <family val="1"/>
        <charset val="2"/>
      </rPr>
      <t>w</t>
    </r>
    <r>
      <rPr>
        <b/>
        <sz val="14"/>
        <color rgb="FFFF0000"/>
        <rFont val="Arial"/>
        <family val="2"/>
        <charset val="238"/>
      </rPr>
      <t>2t+</t>
    </r>
    <r>
      <rPr>
        <b/>
        <sz val="14"/>
        <color rgb="FFFF0000"/>
        <rFont val="Symbol"/>
        <family val="1"/>
        <charset val="2"/>
      </rPr>
      <t>j</t>
    </r>
    <r>
      <rPr>
        <b/>
        <sz val="14"/>
        <color rgb="FFFF0000"/>
        <rFont val="Arial"/>
        <family val="2"/>
        <charset val="238"/>
      </rPr>
      <t>2)</t>
    </r>
  </si>
  <si>
    <t>Rmax(A)[N]</t>
  </si>
  <si>
    <t>Rmax(B)[N]</t>
  </si>
  <si>
    <t>B2</t>
  </si>
  <si>
    <t>B3</t>
  </si>
  <si>
    <t>B4</t>
  </si>
  <si>
    <r>
      <t>q1=A1cos(</t>
    </r>
    <r>
      <rPr>
        <b/>
        <sz val="14"/>
        <color rgb="FFFF0000"/>
        <rFont val="Symbol"/>
        <family val="1"/>
        <charset val="2"/>
      </rPr>
      <t>w</t>
    </r>
    <r>
      <rPr>
        <b/>
        <sz val="14"/>
        <color rgb="FFFF0000"/>
        <rFont val="Arial"/>
        <family val="2"/>
        <charset val="238"/>
      </rPr>
      <t>1t)+A2sin(</t>
    </r>
    <r>
      <rPr>
        <b/>
        <sz val="14"/>
        <color rgb="FFFF0000"/>
        <rFont val="Symbol"/>
        <family val="1"/>
        <charset val="2"/>
      </rPr>
      <t>w1t</t>
    </r>
    <r>
      <rPr>
        <b/>
        <sz val="14"/>
        <color rgb="FFFF0000"/>
        <rFont val="Arial"/>
        <family val="2"/>
        <charset val="238"/>
      </rPr>
      <t>)+A3cos(</t>
    </r>
    <r>
      <rPr>
        <b/>
        <sz val="14"/>
        <color rgb="FFFF0000"/>
        <rFont val="Symbol"/>
        <family val="1"/>
        <charset val="2"/>
      </rPr>
      <t>w2</t>
    </r>
    <r>
      <rPr>
        <b/>
        <sz val="14"/>
        <color rgb="FFFF0000"/>
        <rFont val="Arial"/>
        <family val="2"/>
        <charset val="238"/>
      </rPr>
      <t>t)+A4sin(</t>
    </r>
    <r>
      <rPr>
        <b/>
        <sz val="14"/>
        <color rgb="FFFF0000"/>
        <rFont val="Symbol"/>
        <family val="1"/>
        <charset val="2"/>
      </rPr>
      <t>w2</t>
    </r>
    <r>
      <rPr>
        <b/>
        <sz val="14"/>
        <color rgb="FFFF0000"/>
        <rFont val="Arial"/>
        <family val="2"/>
        <charset val="238"/>
      </rPr>
      <t>t)</t>
    </r>
  </si>
  <si>
    <r>
      <t>q2=B1cos(</t>
    </r>
    <r>
      <rPr>
        <b/>
        <sz val="14"/>
        <color rgb="FFFF0000"/>
        <rFont val="Symbol"/>
        <family val="1"/>
        <charset val="2"/>
      </rPr>
      <t>w</t>
    </r>
    <r>
      <rPr>
        <b/>
        <sz val="14"/>
        <color rgb="FFFF0000"/>
        <rFont val="Arial"/>
        <family val="2"/>
        <charset val="238"/>
      </rPr>
      <t>1t)+B2sin(</t>
    </r>
    <r>
      <rPr>
        <b/>
        <sz val="14"/>
        <color rgb="FFFF0000"/>
        <rFont val="Symbol"/>
        <family val="1"/>
        <charset val="2"/>
      </rPr>
      <t>w1t</t>
    </r>
    <r>
      <rPr>
        <b/>
        <sz val="14"/>
        <color rgb="FFFF0000"/>
        <rFont val="Arial"/>
        <family val="2"/>
        <charset val="238"/>
      </rPr>
      <t>)+B3cos(</t>
    </r>
    <r>
      <rPr>
        <b/>
        <sz val="14"/>
        <color rgb="FFFF0000"/>
        <rFont val="Symbol"/>
        <family val="1"/>
        <charset val="2"/>
      </rPr>
      <t>w2</t>
    </r>
    <r>
      <rPr>
        <b/>
        <sz val="14"/>
        <color rgb="FFFF0000"/>
        <rFont val="Arial"/>
        <family val="2"/>
        <charset val="238"/>
      </rPr>
      <t>t)+B4sin(</t>
    </r>
    <r>
      <rPr>
        <b/>
        <sz val="14"/>
        <color rgb="FFFF0000"/>
        <rFont val="Symbol"/>
        <family val="1"/>
        <charset val="2"/>
      </rPr>
      <t>w2</t>
    </r>
    <r>
      <rPr>
        <b/>
        <sz val="14"/>
        <color rgb="FFFF0000"/>
        <rFont val="Arial"/>
        <family val="2"/>
        <charset val="238"/>
      </rPr>
      <t>t)</t>
    </r>
  </si>
  <si>
    <t>Y1+</t>
  </si>
  <si>
    <t>m2</t>
  </si>
  <si>
    <t>m3</t>
  </si>
  <si>
    <t>c12</t>
  </si>
  <si>
    <t>c23</t>
  </si>
  <si>
    <t>m1</t>
  </si>
  <si>
    <t>Nem kötött láncszerű lengőrendszer sajátfrekvencái</t>
  </si>
  <si>
    <r>
      <rPr>
        <sz val="14"/>
        <color theme="1"/>
        <rFont val="Symbol"/>
        <family val="1"/>
        <charset val="2"/>
      </rPr>
      <t>a</t>
    </r>
    <r>
      <rPr>
        <vertAlign val="subscript"/>
        <sz val="14"/>
        <color theme="1"/>
        <rFont val="Calibri"/>
        <family val="2"/>
        <charset val="238"/>
        <scheme val="minor"/>
      </rPr>
      <t>1</t>
    </r>
    <r>
      <rPr>
        <vertAlign val="superscript"/>
        <sz val="14"/>
        <color theme="1"/>
        <rFont val="Calibri"/>
        <family val="2"/>
        <charset val="238"/>
        <scheme val="minor"/>
      </rPr>
      <t>2</t>
    </r>
  </si>
  <si>
    <r>
      <rPr>
        <b/>
        <sz val="14"/>
        <color theme="1"/>
        <rFont val="Symbol"/>
        <family val="1"/>
        <charset val="2"/>
      </rPr>
      <t>a</t>
    </r>
    <r>
      <rPr>
        <b/>
        <vertAlign val="subscript"/>
        <sz val="14"/>
        <color theme="1"/>
        <rFont val="Calibri"/>
        <family val="2"/>
        <charset val="238"/>
        <scheme val="minor"/>
      </rPr>
      <t>1</t>
    </r>
  </si>
  <si>
    <r>
      <rPr>
        <sz val="14"/>
        <color theme="1"/>
        <rFont val="Symbol"/>
        <family val="1"/>
        <charset val="2"/>
      </rPr>
      <t>a</t>
    </r>
    <r>
      <rPr>
        <vertAlign val="subscript"/>
        <sz val="14"/>
        <color theme="1"/>
        <rFont val="Symbol"/>
        <family val="1"/>
        <charset val="2"/>
      </rPr>
      <t>2</t>
    </r>
    <r>
      <rPr>
        <vertAlign val="superscript"/>
        <sz val="14"/>
        <color theme="1"/>
        <rFont val="Calibri"/>
        <family val="2"/>
        <charset val="238"/>
        <scheme val="minor"/>
      </rPr>
      <t>2</t>
    </r>
  </si>
  <si>
    <r>
      <t>a</t>
    </r>
    <r>
      <rPr>
        <b/>
        <vertAlign val="subscript"/>
        <sz val="14"/>
        <color theme="1"/>
        <rFont val="Symbol"/>
        <family val="1"/>
        <charset val="2"/>
      </rPr>
      <t>2</t>
    </r>
  </si>
  <si>
    <t>Kötött láncszerű lengőrendszer sajátfrekvencái</t>
  </si>
  <si>
    <t>m/N</t>
  </si>
  <si>
    <r>
      <t>m</t>
    </r>
    <r>
      <rPr>
        <vertAlign val="subscript"/>
        <sz val="14"/>
        <color theme="1"/>
        <rFont val="Calibri"/>
        <family val="2"/>
        <charset val="238"/>
        <scheme val="minor"/>
      </rPr>
      <t>1</t>
    </r>
  </si>
  <si>
    <r>
      <t>m</t>
    </r>
    <r>
      <rPr>
        <vertAlign val="subscript"/>
        <sz val="14"/>
        <color theme="1"/>
        <rFont val="Calibri"/>
        <family val="2"/>
        <charset val="238"/>
        <scheme val="minor"/>
      </rPr>
      <t>2</t>
    </r>
  </si>
  <si>
    <r>
      <t>c</t>
    </r>
    <r>
      <rPr>
        <vertAlign val="subscript"/>
        <sz val="14"/>
        <color theme="1"/>
        <rFont val="Calibri"/>
        <family val="2"/>
        <charset val="238"/>
        <scheme val="minor"/>
      </rPr>
      <t>01</t>
    </r>
  </si>
  <si>
    <r>
      <t>c</t>
    </r>
    <r>
      <rPr>
        <vertAlign val="subscript"/>
        <sz val="14"/>
        <color theme="1"/>
        <rFont val="Calibri"/>
        <family val="2"/>
        <charset val="238"/>
        <scheme val="minor"/>
      </rPr>
      <t>12</t>
    </r>
  </si>
  <si>
    <t>disk</t>
  </si>
  <si>
    <t>q1=</t>
  </si>
  <si>
    <t>q2=</t>
  </si>
  <si>
    <r>
      <rPr>
        <b/>
        <sz val="14"/>
        <rFont val="Symbol"/>
        <family val="1"/>
        <charset val="2"/>
      </rPr>
      <t>F</t>
    </r>
    <r>
      <rPr>
        <b/>
        <vertAlign val="subscript"/>
        <sz val="14"/>
        <rFont val="Arial"/>
        <family val="2"/>
        <charset val="238"/>
      </rPr>
      <t>11</t>
    </r>
    <r>
      <rPr>
        <b/>
        <sz val="14"/>
        <rFont val="Arial"/>
        <family val="2"/>
        <charset val="238"/>
      </rPr>
      <t>*Y</t>
    </r>
    <r>
      <rPr>
        <b/>
        <vertAlign val="subscript"/>
        <sz val="14"/>
        <rFont val="Arial"/>
        <family val="2"/>
        <charset val="238"/>
      </rPr>
      <t>1</t>
    </r>
    <r>
      <rPr>
        <b/>
        <sz val="14"/>
        <rFont val="Arial"/>
        <family val="2"/>
        <charset val="238"/>
      </rPr>
      <t>+</t>
    </r>
  </si>
  <si>
    <r>
      <rPr>
        <b/>
        <sz val="14"/>
        <rFont val="Symbol"/>
        <family val="1"/>
        <charset val="2"/>
      </rPr>
      <t>F</t>
    </r>
    <r>
      <rPr>
        <b/>
        <vertAlign val="subscript"/>
        <sz val="14"/>
        <rFont val="Symbol"/>
        <family val="1"/>
        <charset val="2"/>
      </rPr>
      <t>2</t>
    </r>
    <r>
      <rPr>
        <b/>
        <vertAlign val="subscript"/>
        <sz val="14"/>
        <rFont val="Arial"/>
        <family val="2"/>
        <charset val="238"/>
      </rPr>
      <t>2</t>
    </r>
    <r>
      <rPr>
        <b/>
        <sz val="14"/>
        <rFont val="Arial"/>
        <family val="2"/>
        <charset val="238"/>
      </rPr>
      <t>*Y</t>
    </r>
    <r>
      <rPr>
        <b/>
        <vertAlign val="subscript"/>
        <sz val="14"/>
        <rFont val="Arial"/>
        <family val="2"/>
        <charset val="238"/>
      </rPr>
      <t>2</t>
    </r>
  </si>
  <si>
    <t>Megoldás felrajzolása a két függvény összegzése lap alapján!</t>
  </si>
  <si>
    <r>
      <rPr>
        <b/>
        <sz val="14"/>
        <rFont val="Symbol"/>
        <family val="1"/>
        <charset val="2"/>
      </rPr>
      <t>F</t>
    </r>
    <r>
      <rPr>
        <b/>
        <vertAlign val="subscript"/>
        <sz val="14"/>
        <rFont val="Symbol"/>
        <family val="1"/>
        <charset val="2"/>
      </rPr>
      <t>12</t>
    </r>
    <r>
      <rPr>
        <b/>
        <sz val="14"/>
        <rFont val="Arial"/>
        <family val="2"/>
        <charset val="238"/>
      </rPr>
      <t>*Y</t>
    </r>
    <r>
      <rPr>
        <b/>
        <vertAlign val="subscript"/>
        <sz val="14"/>
        <rFont val="Arial"/>
        <family val="2"/>
        <charset val="238"/>
      </rPr>
      <t>1</t>
    </r>
    <r>
      <rPr>
        <b/>
        <sz val="14"/>
        <rFont val="Arial"/>
        <family val="2"/>
        <charset val="238"/>
      </rPr>
      <t>+</t>
    </r>
  </si>
  <si>
    <r>
      <rPr>
        <b/>
        <sz val="14"/>
        <rFont val="Symbol"/>
        <family val="1"/>
        <charset val="2"/>
      </rPr>
      <t>F</t>
    </r>
    <r>
      <rPr>
        <b/>
        <vertAlign val="subscript"/>
        <sz val="14"/>
        <rFont val="Symbol"/>
        <family val="1"/>
        <charset val="2"/>
      </rPr>
      <t>21</t>
    </r>
    <r>
      <rPr>
        <b/>
        <sz val="14"/>
        <rFont val="Arial"/>
        <family val="2"/>
        <charset val="238"/>
      </rPr>
      <t>*Y</t>
    </r>
    <r>
      <rPr>
        <b/>
        <vertAlign val="subscript"/>
        <sz val="14"/>
        <rFont val="Arial"/>
        <family val="2"/>
        <charset val="238"/>
      </rPr>
      <t>2</t>
    </r>
  </si>
  <si>
    <t>Raylegh csillapítás:</t>
  </si>
  <si>
    <r>
      <t>D</t>
    </r>
    <r>
      <rPr>
        <b/>
        <vertAlign val="subscript"/>
        <sz val="10"/>
        <rFont val="Arial"/>
        <family val="2"/>
        <charset val="238"/>
      </rPr>
      <t>1</t>
    </r>
  </si>
  <si>
    <r>
      <t>D</t>
    </r>
    <r>
      <rPr>
        <b/>
        <vertAlign val="subscript"/>
        <sz val="10"/>
        <rFont val="Arial"/>
        <family val="2"/>
        <charset val="238"/>
      </rPr>
      <t>2</t>
    </r>
  </si>
  <si>
    <r>
      <rPr>
        <b/>
        <sz val="16"/>
        <color rgb="FFFF0000"/>
        <rFont val="Arial"/>
        <family val="2"/>
        <charset val="238"/>
      </rPr>
      <t xml:space="preserve"> </t>
    </r>
    <r>
      <rPr>
        <b/>
        <u val="double"/>
        <sz val="16"/>
        <color rgb="FFFF0000"/>
        <rFont val="Arial"/>
        <family val="2"/>
        <charset val="238"/>
      </rPr>
      <t>K</t>
    </r>
    <r>
      <rPr>
        <b/>
        <sz val="16"/>
        <color rgb="FFFF0000"/>
        <rFont val="Arial"/>
        <family val="2"/>
        <charset val="238"/>
      </rPr>
      <t>=</t>
    </r>
    <r>
      <rPr>
        <b/>
        <sz val="16"/>
        <color rgb="FFFF0000"/>
        <rFont val="Symbol"/>
        <family val="1"/>
        <charset val="2"/>
      </rPr>
      <t>a</t>
    </r>
    <r>
      <rPr>
        <b/>
        <u val="double"/>
        <sz val="16"/>
        <color rgb="FFFF0000"/>
        <rFont val="Arial"/>
        <family val="2"/>
        <charset val="238"/>
      </rPr>
      <t>M</t>
    </r>
    <r>
      <rPr>
        <b/>
        <sz val="16"/>
        <color rgb="FFFF0000"/>
        <rFont val="Arial"/>
        <family val="2"/>
        <charset val="238"/>
      </rPr>
      <t>+</t>
    </r>
    <r>
      <rPr>
        <b/>
        <sz val="16"/>
        <color rgb="FFFF0000"/>
        <rFont val="Symbol"/>
        <family val="1"/>
        <charset val="2"/>
      </rPr>
      <t>b</t>
    </r>
    <r>
      <rPr>
        <b/>
        <u val="double"/>
        <sz val="16"/>
        <color rgb="FFFF0000"/>
        <rFont val="Arial"/>
        <family val="2"/>
        <charset val="238"/>
      </rPr>
      <t>S</t>
    </r>
  </si>
  <si>
    <r>
      <rPr>
        <sz val="10"/>
        <rFont val="Symbol"/>
        <family val="1"/>
        <charset val="2"/>
      </rPr>
      <t>a</t>
    </r>
    <r>
      <rPr>
        <vertAlign val="subscript"/>
        <sz val="10"/>
        <rFont val="Arial"/>
        <family val="2"/>
        <charset val="238"/>
      </rPr>
      <t>javasolt</t>
    </r>
  </si>
  <si>
    <r>
      <rPr>
        <sz val="10"/>
        <rFont val="Symbol"/>
        <family val="1"/>
        <charset val="2"/>
      </rPr>
      <t>a</t>
    </r>
    <r>
      <rPr>
        <vertAlign val="subscript"/>
        <sz val="10"/>
        <rFont val="Arial"/>
        <family val="2"/>
        <charset val="238"/>
      </rPr>
      <t>1</t>
    </r>
  </si>
  <si>
    <r>
      <rPr>
        <sz val="10"/>
        <rFont val="Symbol"/>
        <family val="1"/>
        <charset val="2"/>
      </rPr>
      <t>a</t>
    </r>
    <r>
      <rPr>
        <vertAlign val="subscript"/>
        <sz val="10"/>
        <rFont val="Arial"/>
        <family val="2"/>
        <charset val="238"/>
      </rPr>
      <t>2</t>
    </r>
  </si>
  <si>
    <t>sin(6,64t)</t>
  </si>
  <si>
    <t>sin(13,81t)</t>
  </si>
  <si>
    <r>
      <t xml:space="preserve">Segítség    </t>
    </r>
    <r>
      <rPr>
        <sz val="10"/>
        <rFont val="Symbol"/>
        <family val="1"/>
        <charset val="2"/>
      </rPr>
      <t>a</t>
    </r>
    <r>
      <rPr>
        <sz val="10"/>
        <rFont val="Arial"/>
        <family val="2"/>
        <charset val="238"/>
      </rPr>
      <t xml:space="preserve"> és </t>
    </r>
    <r>
      <rPr>
        <sz val="10"/>
        <rFont val="Symbol"/>
        <family val="1"/>
        <charset val="2"/>
      </rPr>
      <t>b</t>
    </r>
    <r>
      <rPr>
        <sz val="10"/>
        <rFont val="Arial"/>
        <family val="2"/>
        <charset val="238"/>
      </rPr>
      <t xml:space="preserve"> meghatározásához</t>
    </r>
  </si>
  <si>
    <t>Indrajit Chowdhury</t>
  </si>
  <si>
    <t>módszere</t>
  </si>
  <si>
    <r>
      <t>D</t>
    </r>
    <r>
      <rPr>
        <vertAlign val="subscript"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*</t>
    </r>
  </si>
  <si>
    <r>
      <t>D</t>
    </r>
    <r>
      <rPr>
        <vertAlign val="sub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>*</t>
    </r>
  </si>
  <si>
    <t>Nem "arányos" K mátrixal kapott értékek figyelembe vételével</t>
  </si>
  <si>
    <r>
      <rPr>
        <sz val="14"/>
        <rFont val="Arial"/>
        <family val="2"/>
        <charset val="238"/>
      </rPr>
      <t>D</t>
    </r>
    <r>
      <rPr>
        <sz val="14"/>
        <rFont val="Symbol"/>
        <family val="1"/>
        <charset val="2"/>
      </rPr>
      <t>a=</t>
    </r>
  </si>
  <si>
    <r>
      <rPr>
        <b/>
        <sz val="14"/>
        <color theme="1"/>
        <rFont val="Symbol"/>
        <family val="1"/>
        <charset val="2"/>
      </rPr>
      <t>a</t>
    </r>
    <r>
      <rPr>
        <b/>
        <vertAlign val="subscript"/>
        <sz val="14"/>
        <color theme="1"/>
        <rFont val="Calibri"/>
        <family val="2"/>
        <charset val="238"/>
      </rPr>
      <t>1</t>
    </r>
  </si>
  <si>
    <r>
      <rPr>
        <b/>
        <sz val="14"/>
        <color theme="1"/>
        <rFont val="Symbol"/>
        <family val="1"/>
        <charset val="2"/>
      </rPr>
      <t>a</t>
    </r>
    <r>
      <rPr>
        <b/>
        <vertAlign val="subscript"/>
        <sz val="14"/>
        <color theme="1"/>
        <rFont val="Calibri"/>
        <family val="2"/>
        <charset val="238"/>
      </rPr>
      <t>2</t>
    </r>
  </si>
  <si>
    <r>
      <rPr>
        <b/>
        <u/>
        <sz val="11"/>
        <color theme="1"/>
        <rFont val="Symbol"/>
        <family val="1"/>
        <charset val="2"/>
      </rPr>
      <t>f</t>
    </r>
    <r>
      <rPr>
        <b/>
        <u/>
        <sz val="11"/>
        <color theme="1"/>
        <rFont val="Calibri"/>
        <family val="2"/>
        <charset val="238"/>
      </rPr>
      <t>1</t>
    </r>
  </si>
  <si>
    <r>
      <rPr>
        <b/>
        <u/>
        <sz val="11"/>
        <color theme="1"/>
        <rFont val="Symbol"/>
        <family val="1"/>
        <charset val="2"/>
      </rPr>
      <t>f</t>
    </r>
    <r>
      <rPr>
        <b/>
        <u/>
        <sz val="11"/>
        <color theme="1"/>
        <rFont val="Calibri"/>
        <family val="2"/>
        <charset val="238"/>
      </rPr>
      <t>2</t>
    </r>
  </si>
  <si>
    <r>
      <t>adj</t>
    </r>
    <r>
      <rPr>
        <b/>
        <u val="double"/>
        <sz val="11"/>
        <color theme="1"/>
        <rFont val="Symbol"/>
        <family val="1"/>
        <charset val="2"/>
      </rPr>
      <t>F</t>
    </r>
  </si>
  <si>
    <r>
      <rPr>
        <b/>
        <u val="double"/>
        <sz val="11"/>
        <color theme="1"/>
        <rFont val="Symbol"/>
        <family val="1"/>
        <charset val="2"/>
      </rPr>
      <t>F</t>
    </r>
    <r>
      <rPr>
        <b/>
        <u val="double"/>
        <vertAlign val="superscript"/>
        <sz val="11"/>
        <color theme="1"/>
        <rFont val="Calibri"/>
        <family val="2"/>
        <charset val="238"/>
      </rPr>
      <t>-1</t>
    </r>
  </si>
  <si>
    <r>
      <t>K</t>
    </r>
    <r>
      <rPr>
        <u val="double"/>
        <vertAlign val="subscript"/>
        <sz val="10"/>
        <rFont val="Arial"/>
        <family val="2"/>
        <charset val="238"/>
      </rPr>
      <t>valós</t>
    </r>
  </si>
  <si>
    <t>Ez ad jobb közelítést!</t>
  </si>
  <si>
    <r>
      <rPr>
        <b/>
        <u/>
        <sz val="11"/>
        <color theme="1"/>
        <rFont val="Symbol"/>
        <family val="1"/>
        <charset val="2"/>
      </rPr>
      <t>F</t>
    </r>
    <r>
      <rPr>
        <b/>
        <u/>
        <sz val="11"/>
        <color theme="1"/>
        <rFont val="Calibri"/>
        <family val="2"/>
        <charset val="238"/>
      </rPr>
      <t>1</t>
    </r>
  </si>
  <si>
    <r>
      <rPr>
        <b/>
        <u/>
        <sz val="11"/>
        <color theme="1"/>
        <rFont val="Symbol"/>
        <family val="1"/>
        <charset val="2"/>
      </rPr>
      <t>F</t>
    </r>
    <r>
      <rPr>
        <b/>
        <u/>
        <sz val="11"/>
        <color theme="1"/>
        <rFont val="Calibri"/>
        <family val="2"/>
        <charset val="238"/>
      </rPr>
      <t>2</t>
    </r>
  </si>
  <si>
    <r>
      <rPr>
        <b/>
        <u/>
        <sz val="14"/>
        <color theme="1"/>
        <rFont val="Symbol"/>
        <family val="1"/>
        <charset val="2"/>
      </rPr>
      <t>F</t>
    </r>
    <r>
      <rPr>
        <b/>
        <u/>
        <vertAlign val="subscript"/>
        <sz val="14"/>
        <color theme="1"/>
        <rFont val="Calibri"/>
        <family val="2"/>
        <charset val="238"/>
        <scheme val="minor"/>
      </rPr>
      <t>1</t>
    </r>
  </si>
  <si>
    <r>
      <t>F</t>
    </r>
    <r>
      <rPr>
        <b/>
        <u/>
        <vertAlign val="subscript"/>
        <sz val="14"/>
        <color theme="1"/>
        <rFont val="Symbol"/>
        <family val="1"/>
        <charset val="2"/>
      </rPr>
      <t>2</t>
    </r>
  </si>
  <si>
    <r>
      <t>S-</t>
    </r>
    <r>
      <rPr>
        <u val="double"/>
        <sz val="10"/>
        <rFont val="Symbol"/>
        <family val="1"/>
        <charset val="2"/>
      </rPr>
      <t>a</t>
    </r>
    <r>
      <rPr>
        <u val="double"/>
        <vertAlign val="subscript"/>
        <sz val="10"/>
        <rFont val="Arial"/>
        <family val="2"/>
        <charset val="238"/>
      </rPr>
      <t>1</t>
    </r>
    <r>
      <rPr>
        <u val="double"/>
        <vertAlign val="superscript"/>
        <sz val="10"/>
        <rFont val="Arial"/>
        <family val="2"/>
        <charset val="238"/>
      </rPr>
      <t>2</t>
    </r>
    <r>
      <rPr>
        <u val="double"/>
        <sz val="10"/>
        <rFont val="Arial"/>
        <family val="2"/>
        <charset val="238"/>
      </rPr>
      <t>M</t>
    </r>
  </si>
  <si>
    <r>
      <t>S-</t>
    </r>
    <r>
      <rPr>
        <u val="double"/>
        <sz val="10"/>
        <rFont val="Symbol"/>
        <family val="1"/>
        <charset val="2"/>
      </rPr>
      <t>a</t>
    </r>
    <r>
      <rPr>
        <u val="double"/>
        <vertAlign val="subscript"/>
        <sz val="10"/>
        <rFont val="Symbol"/>
        <family val="1"/>
        <charset val="2"/>
      </rPr>
      <t>2</t>
    </r>
    <r>
      <rPr>
        <u val="double"/>
        <vertAlign val="superscript"/>
        <sz val="10"/>
        <rFont val="Arial"/>
        <family val="2"/>
        <charset val="238"/>
      </rPr>
      <t>2</t>
    </r>
    <r>
      <rPr>
        <u val="double"/>
        <sz val="10"/>
        <rFont val="Arial"/>
        <family val="2"/>
        <charset val="238"/>
      </rPr>
      <t>M</t>
    </r>
  </si>
  <si>
    <t>x1</t>
  </si>
  <si>
    <t>t1</t>
  </si>
  <si>
    <t>x2</t>
  </si>
  <si>
    <t>t2</t>
  </si>
  <si>
    <t>Mérés kiértékelése (paraméterek meghatározása)</t>
  </si>
  <si>
    <t>REZGÉSCSILLAPÍTÁS</t>
  </si>
  <si>
    <r>
      <t>F</t>
    </r>
    <r>
      <rPr>
        <b/>
        <vertAlign val="subscript"/>
        <sz val="16"/>
        <rFont val="Arial"/>
        <family val="2"/>
        <charset val="238"/>
      </rPr>
      <t>0</t>
    </r>
  </si>
  <si>
    <r>
      <t>F</t>
    </r>
    <r>
      <rPr>
        <b/>
        <vertAlign val="subscript"/>
        <sz val="16"/>
        <rFont val="Arial"/>
        <family val="2"/>
        <charset val="238"/>
      </rPr>
      <t>max</t>
    </r>
  </si>
  <si>
    <t>(CsernakG_StepanG-A_muszaki_rezgestan_alapjai)</t>
  </si>
  <si>
    <r>
      <t>c</t>
    </r>
    <r>
      <rPr>
        <vertAlign val="subscript"/>
        <sz val="14"/>
        <color theme="1"/>
        <rFont val="Calibri"/>
        <family val="2"/>
        <charset val="238"/>
        <scheme val="minor"/>
      </rPr>
      <t>20</t>
    </r>
  </si>
  <si>
    <t>Lengésképek</t>
  </si>
  <si>
    <t>Mindkét végén kötött láncszerű rendszer sajátfrekvenciái</t>
  </si>
  <si>
    <r>
      <t>S-</t>
    </r>
    <r>
      <rPr>
        <u val="double"/>
        <sz val="14"/>
        <rFont val="Symbol"/>
        <family val="1"/>
        <charset val="2"/>
      </rPr>
      <t>a</t>
    </r>
    <r>
      <rPr>
        <u val="double"/>
        <vertAlign val="subscript"/>
        <sz val="14"/>
        <rFont val="Arial"/>
        <family val="2"/>
        <charset val="238"/>
      </rPr>
      <t>1</t>
    </r>
    <r>
      <rPr>
        <u val="double"/>
        <vertAlign val="superscript"/>
        <sz val="14"/>
        <rFont val="Arial"/>
        <family val="2"/>
        <charset val="238"/>
      </rPr>
      <t>2</t>
    </r>
    <r>
      <rPr>
        <u val="double"/>
        <sz val="14"/>
        <rFont val="Arial"/>
        <family val="2"/>
        <charset val="238"/>
      </rPr>
      <t>M</t>
    </r>
  </si>
  <si>
    <r>
      <t>S-</t>
    </r>
    <r>
      <rPr>
        <u val="double"/>
        <sz val="14"/>
        <rFont val="Symbol"/>
        <family val="1"/>
        <charset val="2"/>
      </rPr>
      <t>a</t>
    </r>
    <r>
      <rPr>
        <u val="double"/>
        <vertAlign val="subscript"/>
        <sz val="14"/>
        <rFont val="Symbol"/>
        <family val="1"/>
        <charset val="2"/>
      </rPr>
      <t>2</t>
    </r>
    <r>
      <rPr>
        <u val="double"/>
        <vertAlign val="superscript"/>
        <sz val="14"/>
        <rFont val="Arial"/>
        <family val="2"/>
        <charset val="238"/>
      </rPr>
      <t>2</t>
    </r>
    <r>
      <rPr>
        <u val="double"/>
        <sz val="14"/>
        <rFont val="Arial"/>
        <family val="2"/>
        <charset val="238"/>
      </rPr>
      <t>M</t>
    </r>
  </si>
  <si>
    <t>Tatabánya 2017</t>
  </si>
  <si>
    <t>km/h</t>
  </si>
  <si>
    <r>
      <t>r</t>
    </r>
    <r>
      <rPr>
        <vertAlign val="subscript"/>
        <sz val="14"/>
        <rFont val="Arial"/>
        <family val="2"/>
        <charset val="238"/>
      </rPr>
      <t>0</t>
    </r>
    <r>
      <rPr>
        <sz val="14"/>
        <rFont val="Arial"/>
        <family val="2"/>
        <charset val="238"/>
      </rPr>
      <t>=yo</t>
    </r>
  </si>
  <si>
    <t>félrezgésszám</t>
  </si>
  <si>
    <t>n&gt;</t>
  </si>
  <si>
    <t>y2</t>
  </si>
  <si>
    <t>+</t>
  </si>
  <si>
    <t>y1 é!s y2 függvényeket be kell írni!</t>
  </si>
  <si>
    <t>megfelelő értéket beírni</t>
  </si>
  <si>
    <t>cos(7,58t)+</t>
  </si>
  <si>
    <t>cos(14,74t)+</t>
  </si>
  <si>
    <t>sin(7,58t)+</t>
  </si>
  <si>
    <t>sin(7,58t)</t>
  </si>
  <si>
    <t>sin(14,74t)</t>
  </si>
  <si>
    <t>e^(-3,175t)</t>
  </si>
  <si>
    <t>0,065sin(6,87t)</t>
  </si>
  <si>
    <t>(0,0245cos(6,87t)-</t>
  </si>
  <si>
    <t>e^(-12,45t)</t>
  </si>
  <si>
    <t>(0,46cos(7,9t)+</t>
  </si>
  <si>
    <t>0,702sin(7,9t)</t>
  </si>
  <si>
    <r>
      <t>d</t>
    </r>
    <r>
      <rPr>
        <vertAlign val="superscript"/>
        <sz val="22"/>
        <rFont val="Calibri"/>
        <family val="2"/>
        <charset val="238"/>
      </rPr>
      <t>2</t>
    </r>
    <r>
      <rPr>
        <sz val="22"/>
        <rFont val="Calibri"/>
        <family val="2"/>
        <charset val="238"/>
      </rPr>
      <t>Y</t>
    </r>
    <r>
      <rPr>
        <vertAlign val="subscript"/>
        <sz val="22"/>
        <rFont val="Calibri"/>
        <family val="2"/>
        <charset val="238"/>
      </rPr>
      <t>1</t>
    </r>
    <r>
      <rPr>
        <sz val="22"/>
        <rFont val="Calibri"/>
        <family val="2"/>
        <charset val="238"/>
      </rPr>
      <t>/dt</t>
    </r>
    <r>
      <rPr>
        <vertAlign val="superscript"/>
        <sz val="22"/>
        <rFont val="Calibri"/>
        <family val="2"/>
        <charset val="238"/>
      </rPr>
      <t>2</t>
    </r>
    <r>
      <rPr>
        <sz val="22"/>
        <rFont val="Calibri"/>
        <family val="2"/>
        <charset val="238"/>
      </rPr>
      <t>+K</t>
    </r>
    <r>
      <rPr>
        <vertAlign val="subscript"/>
        <sz val="22"/>
        <rFont val="Calibri"/>
        <family val="2"/>
        <charset val="238"/>
      </rPr>
      <t>1</t>
    </r>
    <r>
      <rPr>
        <sz val="22"/>
        <rFont val="Calibri"/>
        <family val="2"/>
        <charset val="238"/>
      </rPr>
      <t>Dy</t>
    </r>
    <r>
      <rPr>
        <vertAlign val="subscript"/>
        <sz val="22"/>
        <rFont val="Calibri"/>
        <family val="2"/>
        <charset val="238"/>
      </rPr>
      <t>1</t>
    </r>
    <r>
      <rPr>
        <sz val="22"/>
        <rFont val="Calibri"/>
        <family val="2"/>
        <charset val="238"/>
      </rPr>
      <t>/dt+S</t>
    </r>
    <r>
      <rPr>
        <vertAlign val="subscript"/>
        <sz val="22"/>
        <rFont val="Calibri"/>
        <family val="2"/>
        <charset val="238"/>
      </rPr>
      <t>1</t>
    </r>
    <r>
      <rPr>
        <sz val="22"/>
        <rFont val="Calibri"/>
        <family val="2"/>
        <charset val="238"/>
      </rPr>
      <t>Y</t>
    </r>
    <r>
      <rPr>
        <vertAlign val="subscript"/>
        <sz val="22"/>
        <rFont val="Calibri"/>
        <family val="2"/>
        <charset val="238"/>
      </rPr>
      <t>1</t>
    </r>
    <r>
      <rPr>
        <sz val="22"/>
        <rFont val="Calibri"/>
        <family val="2"/>
        <charset val="238"/>
      </rPr>
      <t>=25,775sin(10t)</t>
    </r>
  </si>
  <si>
    <r>
      <t>Y</t>
    </r>
    <r>
      <rPr>
        <vertAlign val="subscript"/>
        <sz val="22"/>
        <rFont val="Calibri"/>
        <family val="2"/>
        <charset val="238"/>
      </rPr>
      <t>1</t>
    </r>
    <r>
      <rPr>
        <sz val="22"/>
        <rFont val="Calibri"/>
        <family val="2"/>
        <charset val="238"/>
      </rPr>
      <t>=0,337sin(10t-2,16)</t>
    </r>
  </si>
  <si>
    <r>
      <t>Y</t>
    </r>
    <r>
      <rPr>
        <vertAlign val="subscript"/>
        <sz val="22"/>
        <rFont val="Calibri"/>
        <family val="2"/>
        <charset val="238"/>
      </rPr>
      <t>2</t>
    </r>
    <r>
      <rPr>
        <sz val="22"/>
        <rFont val="Calibri"/>
        <family val="2"/>
        <charset val="238"/>
      </rPr>
      <t>=-0,155sin(10t-1,13)</t>
    </r>
  </si>
  <si>
    <r>
      <t>d</t>
    </r>
    <r>
      <rPr>
        <vertAlign val="superscript"/>
        <sz val="22"/>
        <rFont val="Calibri"/>
        <family val="2"/>
        <charset val="238"/>
      </rPr>
      <t>2</t>
    </r>
    <r>
      <rPr>
        <sz val="22"/>
        <rFont val="Calibri"/>
        <family val="2"/>
        <charset val="238"/>
      </rPr>
      <t>Y</t>
    </r>
    <r>
      <rPr>
        <vertAlign val="subscript"/>
        <sz val="22"/>
        <rFont val="Calibri"/>
        <family val="2"/>
        <charset val="238"/>
      </rPr>
      <t>2</t>
    </r>
    <r>
      <rPr>
        <sz val="22"/>
        <rFont val="Calibri"/>
        <family val="2"/>
        <charset val="238"/>
      </rPr>
      <t>/dt</t>
    </r>
    <r>
      <rPr>
        <vertAlign val="superscript"/>
        <sz val="22"/>
        <rFont val="Calibri"/>
        <family val="2"/>
        <charset val="238"/>
      </rPr>
      <t>2</t>
    </r>
    <r>
      <rPr>
        <sz val="22"/>
        <rFont val="Calibri"/>
        <family val="2"/>
        <charset val="238"/>
      </rPr>
      <t>+K</t>
    </r>
    <r>
      <rPr>
        <vertAlign val="subscript"/>
        <sz val="22"/>
        <rFont val="Calibri"/>
        <family val="2"/>
        <charset val="238"/>
      </rPr>
      <t>2</t>
    </r>
    <r>
      <rPr>
        <sz val="22"/>
        <rFont val="Calibri"/>
        <family val="2"/>
        <charset val="238"/>
      </rPr>
      <t>dY</t>
    </r>
    <r>
      <rPr>
        <vertAlign val="subscript"/>
        <sz val="22"/>
        <rFont val="Calibri"/>
        <family val="2"/>
        <charset val="238"/>
      </rPr>
      <t>2</t>
    </r>
    <r>
      <rPr>
        <sz val="22"/>
        <rFont val="Calibri"/>
        <family val="2"/>
        <charset val="238"/>
      </rPr>
      <t>/dt+S</t>
    </r>
    <r>
      <rPr>
        <vertAlign val="subscript"/>
        <sz val="22"/>
        <rFont val="Calibri"/>
        <family val="2"/>
        <charset val="238"/>
      </rPr>
      <t>2</t>
    </r>
    <r>
      <rPr>
        <sz val="22"/>
        <rFont val="Calibri"/>
        <family val="2"/>
        <charset val="238"/>
      </rPr>
      <t>Y</t>
    </r>
    <r>
      <rPr>
        <vertAlign val="subscript"/>
        <sz val="22"/>
        <rFont val="Calibri"/>
        <family val="2"/>
        <charset val="238"/>
      </rPr>
      <t>2</t>
    </r>
    <r>
      <rPr>
        <sz val="22"/>
        <rFont val="Calibri"/>
        <family val="2"/>
        <charset val="238"/>
      </rPr>
      <t>=-42,84sin(10t)</t>
    </r>
  </si>
  <si>
    <r>
      <t>q</t>
    </r>
    <r>
      <rPr>
        <vertAlign val="subscript"/>
        <sz val="24"/>
        <rFont val="Calibri"/>
        <family val="2"/>
        <charset val="238"/>
      </rPr>
      <t>1</t>
    </r>
    <r>
      <rPr>
        <sz val="24"/>
        <rFont val="Calibri"/>
        <family val="2"/>
        <charset val="238"/>
      </rPr>
      <t>=0,2042sin(10t-2,16)-0,0565sin(10t-1,13)</t>
    </r>
  </si>
  <si>
    <r>
      <t>q</t>
    </r>
    <r>
      <rPr>
        <vertAlign val="subscript"/>
        <sz val="24"/>
        <rFont val="Calibri"/>
        <family val="2"/>
        <charset val="238"/>
      </rPr>
      <t>2</t>
    </r>
    <r>
      <rPr>
        <sz val="24"/>
        <rFont val="Calibri"/>
        <family val="2"/>
        <charset val="238"/>
      </rPr>
      <t>=0,0869sin(10t-2,16)+0,06641sin(10t-1,13)</t>
    </r>
  </si>
  <si>
    <t>s1</t>
  </si>
  <si>
    <t>s2</t>
  </si>
  <si>
    <t>s3</t>
  </si>
  <si>
    <t>k1</t>
  </si>
  <si>
    <t>k2</t>
  </si>
  <si>
    <t>k3</t>
  </si>
  <si>
    <t>F2</t>
  </si>
  <si>
    <t>számítási segéd</t>
  </si>
  <si>
    <t>rugók kapcsolása</t>
  </si>
  <si>
    <t>párhuzamos</t>
  </si>
  <si>
    <t>soros</t>
  </si>
  <si>
    <r>
      <t>s</t>
    </r>
    <r>
      <rPr>
        <vertAlign val="subscript"/>
        <sz val="10"/>
        <rFont val="Arial"/>
        <family val="2"/>
        <charset val="238"/>
      </rPr>
      <t>e</t>
    </r>
  </si>
  <si>
    <r>
      <t>B=(v</t>
    </r>
    <r>
      <rPr>
        <vertAlign val="subscript"/>
        <sz val="18"/>
        <color rgb="FFFF0000"/>
        <rFont val="Arial"/>
        <family val="2"/>
        <charset val="238"/>
      </rPr>
      <t>o</t>
    </r>
    <r>
      <rPr>
        <sz val="18"/>
        <color rgb="FFFF0000"/>
        <rFont val="Arial"/>
        <family val="2"/>
        <charset val="238"/>
      </rPr>
      <t>+D</t>
    </r>
    <r>
      <rPr>
        <sz val="18"/>
        <color rgb="FFFF0000"/>
        <rFont val="Symbol"/>
        <family val="1"/>
        <charset val="2"/>
      </rPr>
      <t>a</t>
    </r>
    <r>
      <rPr>
        <sz val="18"/>
        <color rgb="FFFF0000"/>
        <rFont val="Arial"/>
        <family val="2"/>
        <charset val="238"/>
      </rPr>
      <t>y</t>
    </r>
    <r>
      <rPr>
        <vertAlign val="subscript"/>
        <sz val="18"/>
        <color rgb="FFFF0000"/>
        <rFont val="Arial"/>
        <family val="2"/>
        <charset val="238"/>
      </rPr>
      <t>o</t>
    </r>
    <r>
      <rPr>
        <sz val="18"/>
        <color rgb="FFFF0000"/>
        <rFont val="Symbol"/>
        <family val="1"/>
        <charset val="2"/>
      </rPr>
      <t>)/g</t>
    </r>
  </si>
  <si>
    <t>m/n</t>
  </si>
  <si>
    <t>m6N</t>
  </si>
  <si>
    <t>dY01/dt</t>
  </si>
  <si>
    <t>dY02/dt</t>
  </si>
  <si>
    <t>dq/dt</t>
  </si>
  <si>
    <t>q</t>
  </si>
  <si>
    <t>A program bárki által szabadon használható!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</si>
</sst>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0E+00"/>
    <numFmt numFmtId="165" formatCode="0.000E+00"/>
  </numFmts>
  <fonts count="112" x14ac:knownFonts="1">
    <font>
      <sz val="10"/>
      <name val="Arial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Symbol"/>
      <family val="1"/>
      <charset val="2"/>
    </font>
    <font>
      <b/>
      <sz val="12"/>
      <name val="Arial"/>
      <family val="2"/>
      <charset val="238"/>
    </font>
    <font>
      <b/>
      <vertAlign val="subscript"/>
      <sz val="12"/>
      <name val="Arial"/>
      <family val="2"/>
      <charset val="238"/>
    </font>
    <font>
      <vertAlign val="subscript"/>
      <sz val="10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4"/>
      <color rgb="FFFF0000"/>
      <name val="Arial"/>
      <family val="2"/>
      <charset val="238"/>
    </font>
    <font>
      <b/>
      <sz val="14"/>
      <name val="Arial"/>
      <family val="2"/>
      <charset val="238"/>
    </font>
    <font>
      <b/>
      <sz val="14"/>
      <color theme="1"/>
      <name val="Arial"/>
      <family val="2"/>
      <charset val="238"/>
    </font>
    <font>
      <b/>
      <sz val="16"/>
      <color rgb="FFFF0000"/>
      <name val="Arial"/>
      <family val="2"/>
      <charset val="238"/>
    </font>
    <font>
      <b/>
      <sz val="10"/>
      <name val="Symbol"/>
      <family val="1"/>
      <charset val="2"/>
    </font>
    <font>
      <sz val="10"/>
      <name val="Symbol"/>
      <family val="1"/>
      <charset val="2"/>
    </font>
    <font>
      <b/>
      <vertAlign val="subscript"/>
      <sz val="10"/>
      <name val="Arial"/>
      <family val="2"/>
      <charset val="238"/>
    </font>
    <font>
      <sz val="16"/>
      <name val="Arial"/>
      <family val="2"/>
      <charset val="238"/>
    </font>
    <font>
      <vertAlign val="superscript"/>
      <sz val="16"/>
      <name val="Cambria"/>
      <family val="1"/>
      <charset val="238"/>
    </font>
    <font>
      <sz val="16"/>
      <name val="Symbol"/>
      <family val="1"/>
      <charset val="2"/>
    </font>
    <font>
      <vertAlign val="superscript"/>
      <sz val="16"/>
      <name val="Arial"/>
      <family val="2"/>
      <charset val="238"/>
    </font>
    <font>
      <b/>
      <vertAlign val="subscript"/>
      <sz val="14"/>
      <name val="Arial"/>
      <family val="2"/>
      <charset val="238"/>
    </font>
    <font>
      <b/>
      <sz val="16"/>
      <name val="Arial"/>
      <family val="2"/>
      <charset val="238"/>
    </font>
    <font>
      <b/>
      <sz val="16"/>
      <name val="Symbol"/>
      <family val="1"/>
      <charset val="2"/>
    </font>
    <font>
      <sz val="14"/>
      <name val="Arial"/>
      <family val="2"/>
      <charset val="238"/>
    </font>
    <font>
      <b/>
      <sz val="18"/>
      <color rgb="FFFF0000"/>
      <name val="Arial"/>
      <family val="2"/>
      <charset val="238"/>
    </font>
    <font>
      <b/>
      <vertAlign val="superscript"/>
      <sz val="18"/>
      <color rgb="FFFF0000"/>
      <name val="Cambria"/>
      <family val="1"/>
      <charset val="238"/>
    </font>
    <font>
      <b/>
      <vertAlign val="superscript"/>
      <sz val="18"/>
      <color rgb="FFFF0000"/>
      <name val="Arial"/>
      <family val="2"/>
      <charset val="238"/>
    </font>
    <font>
      <b/>
      <sz val="18"/>
      <color rgb="FFFF0000"/>
      <name val="Symbol"/>
      <family val="1"/>
      <charset val="2"/>
    </font>
    <font>
      <sz val="18"/>
      <name val="Arial"/>
      <family val="2"/>
      <charset val="238"/>
    </font>
    <font>
      <sz val="18"/>
      <color rgb="FFFF0000"/>
      <name val="Arial"/>
      <family val="2"/>
      <charset val="238"/>
    </font>
    <font>
      <vertAlign val="subscript"/>
      <sz val="18"/>
      <color rgb="FFFF0000"/>
      <name val="Arial"/>
      <family val="2"/>
      <charset val="238"/>
    </font>
    <font>
      <sz val="18"/>
      <color rgb="FFFF0000"/>
      <name val="Symbol"/>
      <family val="1"/>
      <charset val="2"/>
    </font>
    <font>
      <b/>
      <sz val="18"/>
      <name val="Arial"/>
      <family val="2"/>
      <charset val="238"/>
    </font>
    <font>
      <b/>
      <sz val="18"/>
      <name val="Symbol"/>
      <family val="1"/>
      <charset val="2"/>
    </font>
    <font>
      <sz val="18"/>
      <name val="Symbol"/>
      <family val="1"/>
      <charset val="2"/>
    </font>
    <font>
      <i/>
      <sz val="14"/>
      <name val="Arial"/>
      <family val="2"/>
      <charset val="238"/>
    </font>
    <font>
      <vertAlign val="superscript"/>
      <sz val="18"/>
      <name val="Arial"/>
      <family val="2"/>
      <charset val="238"/>
    </font>
    <font>
      <b/>
      <sz val="18"/>
      <name val="Arial"/>
      <family val="2"/>
    </font>
    <font>
      <b/>
      <vertAlign val="subscript"/>
      <sz val="18"/>
      <name val="Arial"/>
      <family val="2"/>
      <charset val="238"/>
    </font>
    <font>
      <i/>
      <sz val="18"/>
      <name val="Arial"/>
      <family val="2"/>
      <charset val="238"/>
    </font>
    <font>
      <i/>
      <sz val="18"/>
      <name val="Symbol"/>
      <family val="1"/>
      <charset val="2"/>
    </font>
    <font>
      <sz val="10"/>
      <color rgb="FFFF0000"/>
      <name val="Arial"/>
      <family val="2"/>
      <charset val="238"/>
    </font>
    <font>
      <b/>
      <i/>
      <sz val="14"/>
      <name val="Arial"/>
      <family val="2"/>
      <charset val="238"/>
    </font>
    <font>
      <b/>
      <sz val="24"/>
      <name val="Arial"/>
      <family val="2"/>
      <charset val="238"/>
    </font>
    <font>
      <b/>
      <sz val="18"/>
      <color indexed="10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1"/>
      <color theme="1"/>
      <name val="Symbol"/>
      <family val="1"/>
      <charset val="2"/>
    </font>
    <font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</font>
    <font>
      <sz val="14"/>
      <color theme="1"/>
      <name val="Symbol"/>
      <family val="1"/>
      <charset val="2"/>
    </font>
    <font>
      <vertAlign val="subscript"/>
      <sz val="14"/>
      <color theme="1"/>
      <name val="Calibri"/>
      <family val="2"/>
      <charset val="238"/>
    </font>
    <font>
      <vertAlign val="superscript"/>
      <sz val="14"/>
      <color theme="1"/>
      <name val="Calibri"/>
      <family val="2"/>
      <charset val="238"/>
    </font>
    <font>
      <vertAlign val="subscript"/>
      <sz val="14"/>
      <color theme="1"/>
      <name val="Symbol"/>
      <family val="1"/>
      <charset val="2"/>
    </font>
    <font>
      <b/>
      <sz val="11"/>
      <color rgb="FFFF0000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b/>
      <sz val="11"/>
      <color theme="1"/>
      <name val="Calibri"/>
      <family val="2"/>
      <charset val="238"/>
    </font>
    <font>
      <b/>
      <sz val="11"/>
      <color theme="1"/>
      <name val="Symbol"/>
      <family val="1"/>
      <charset val="2"/>
    </font>
    <font>
      <vertAlign val="superscript"/>
      <sz val="11"/>
      <color theme="1"/>
      <name val="Calibri"/>
      <family val="2"/>
      <charset val="238"/>
    </font>
    <font>
      <b/>
      <vertAlign val="superscript"/>
      <sz val="11"/>
      <color theme="1"/>
      <name val="Calibri"/>
      <family val="2"/>
      <charset val="238"/>
    </font>
    <font>
      <b/>
      <sz val="12"/>
      <color rgb="FFFF0000"/>
      <name val="Arial"/>
      <family val="2"/>
      <charset val="238"/>
    </font>
    <font>
      <i/>
      <sz val="14"/>
      <color rgb="FFFF0000"/>
      <name val="Arial"/>
      <family val="2"/>
      <charset val="238"/>
    </font>
    <font>
      <vertAlign val="superscript"/>
      <sz val="14"/>
      <name val="Arial"/>
      <family val="2"/>
      <charset val="238"/>
    </font>
    <font>
      <b/>
      <sz val="14"/>
      <color rgb="FFFF0000"/>
      <name val="Symbol"/>
      <family val="1"/>
      <charset val="2"/>
    </font>
    <font>
      <b/>
      <vertAlign val="subscript"/>
      <sz val="14"/>
      <color rgb="FFFF0000"/>
      <name val="Arial"/>
      <family val="2"/>
      <charset val="238"/>
    </font>
    <font>
      <b/>
      <sz val="11"/>
      <name val="Calibri"/>
      <family val="2"/>
      <charset val="238"/>
      <scheme val="minor"/>
    </font>
    <font>
      <b/>
      <sz val="16"/>
      <color rgb="FFFF000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4"/>
      <color theme="1"/>
      <name val="Symbol"/>
      <family val="1"/>
      <charset val="2"/>
    </font>
    <font>
      <b/>
      <vertAlign val="subscript"/>
      <sz val="14"/>
      <color theme="1"/>
      <name val="Calibri"/>
      <family val="2"/>
      <charset val="238"/>
      <scheme val="minor"/>
    </font>
    <font>
      <b/>
      <vertAlign val="subscript"/>
      <sz val="14"/>
      <color theme="1"/>
      <name val="Symbol"/>
      <family val="1"/>
      <charset val="2"/>
    </font>
    <font>
      <vertAlign val="subscript"/>
      <sz val="14"/>
      <color theme="1"/>
      <name val="Calibri"/>
      <family val="2"/>
      <charset val="238"/>
      <scheme val="minor"/>
    </font>
    <font>
      <vertAlign val="superscript"/>
      <sz val="14"/>
      <color theme="1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8"/>
      <color rgb="FFFF0000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b/>
      <vertAlign val="subscript"/>
      <sz val="14"/>
      <name val="Symbol"/>
      <family val="1"/>
      <charset val="2"/>
    </font>
    <font>
      <sz val="12"/>
      <name val="Symbol"/>
      <family val="1"/>
      <charset val="2"/>
    </font>
    <font>
      <b/>
      <u val="double"/>
      <sz val="16"/>
      <color rgb="FFFF0000"/>
      <name val="Arial"/>
      <family val="2"/>
      <charset val="238"/>
    </font>
    <font>
      <b/>
      <sz val="16"/>
      <color rgb="FFFF0000"/>
      <name val="Symbol"/>
      <family val="1"/>
      <charset val="2"/>
    </font>
    <font>
      <sz val="14"/>
      <name val="Symbol"/>
      <family val="1"/>
      <charset val="2"/>
    </font>
    <font>
      <b/>
      <u val="double"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</font>
    <font>
      <b/>
      <vertAlign val="subscript"/>
      <sz val="14"/>
      <color theme="1"/>
      <name val="Calibri"/>
      <family val="2"/>
      <charset val="238"/>
    </font>
    <font>
      <b/>
      <u/>
      <sz val="11"/>
      <color theme="1"/>
      <name val="Calibri"/>
      <family val="2"/>
      <charset val="238"/>
    </font>
    <font>
      <b/>
      <u/>
      <sz val="11"/>
      <color theme="1"/>
      <name val="Symbol"/>
      <family val="1"/>
      <charset val="2"/>
    </font>
    <font>
      <b/>
      <u val="double"/>
      <sz val="11"/>
      <color theme="1"/>
      <name val="Symbol"/>
      <family val="1"/>
      <charset val="2"/>
    </font>
    <font>
      <b/>
      <u val="double"/>
      <sz val="11"/>
      <color theme="1"/>
      <name val="Calibri"/>
      <family val="2"/>
      <charset val="238"/>
    </font>
    <font>
      <b/>
      <u val="double"/>
      <vertAlign val="superscript"/>
      <sz val="11"/>
      <color theme="1"/>
      <name val="Calibri"/>
      <family val="2"/>
      <charset val="238"/>
    </font>
    <font>
      <u val="double"/>
      <sz val="10"/>
      <name val="Arial"/>
      <family val="2"/>
      <charset val="238"/>
    </font>
    <font>
      <u val="double"/>
      <vertAlign val="subscript"/>
      <sz val="10"/>
      <name val="Arial"/>
      <family val="2"/>
      <charset val="238"/>
    </font>
    <font>
      <b/>
      <u/>
      <sz val="14"/>
      <color theme="1"/>
      <name val="Calibri"/>
      <family val="2"/>
      <charset val="238"/>
      <scheme val="minor"/>
    </font>
    <font>
      <b/>
      <u/>
      <sz val="14"/>
      <color theme="1"/>
      <name val="Symbol"/>
      <family val="1"/>
      <charset val="2"/>
    </font>
    <font>
      <b/>
      <u/>
      <vertAlign val="subscript"/>
      <sz val="14"/>
      <color theme="1"/>
      <name val="Calibri"/>
      <family val="2"/>
      <charset val="238"/>
      <scheme val="minor"/>
    </font>
    <font>
      <b/>
      <u/>
      <vertAlign val="subscript"/>
      <sz val="14"/>
      <color theme="1"/>
      <name val="Symbol"/>
      <family val="1"/>
      <charset val="2"/>
    </font>
    <font>
      <u val="double"/>
      <sz val="10"/>
      <name val="Symbol"/>
      <family val="1"/>
      <charset val="2"/>
    </font>
    <font>
      <u val="double"/>
      <vertAlign val="superscript"/>
      <sz val="10"/>
      <name val="Arial"/>
      <family val="2"/>
      <charset val="238"/>
    </font>
    <font>
      <u val="double"/>
      <vertAlign val="subscript"/>
      <sz val="10"/>
      <name val="Symbol"/>
      <family val="1"/>
      <charset val="2"/>
    </font>
    <font>
      <sz val="12"/>
      <name val="Arial"/>
      <family val="2"/>
      <charset val="238"/>
    </font>
    <font>
      <sz val="20"/>
      <color rgb="FFFF0000"/>
      <name val="Arial"/>
      <family val="2"/>
      <charset val="238"/>
    </font>
    <font>
      <b/>
      <vertAlign val="subscript"/>
      <sz val="16"/>
      <name val="Arial"/>
      <family val="2"/>
      <charset val="238"/>
    </font>
    <font>
      <u val="double"/>
      <sz val="14"/>
      <name val="Arial"/>
      <family val="2"/>
      <charset val="238"/>
    </font>
    <font>
      <u val="double"/>
      <sz val="14"/>
      <name val="Symbol"/>
      <family val="1"/>
      <charset val="2"/>
    </font>
    <font>
      <u val="double"/>
      <vertAlign val="subscript"/>
      <sz val="14"/>
      <name val="Arial"/>
      <family val="2"/>
      <charset val="238"/>
    </font>
    <font>
      <u val="double"/>
      <vertAlign val="superscript"/>
      <sz val="14"/>
      <name val="Arial"/>
      <family val="2"/>
      <charset val="238"/>
    </font>
    <font>
      <u val="double"/>
      <vertAlign val="subscript"/>
      <sz val="14"/>
      <name val="Symbol"/>
      <family val="1"/>
      <charset val="2"/>
    </font>
    <font>
      <vertAlign val="subscript"/>
      <sz val="14"/>
      <name val="Arial"/>
      <family val="2"/>
      <charset val="238"/>
    </font>
    <font>
      <sz val="20"/>
      <name val="Calibri"/>
      <family val="2"/>
      <charset val="238"/>
    </font>
    <font>
      <sz val="22"/>
      <name val="Calibri"/>
      <family val="2"/>
      <charset val="238"/>
    </font>
    <font>
      <vertAlign val="superscript"/>
      <sz val="22"/>
      <name val="Calibri"/>
      <family val="2"/>
      <charset val="238"/>
    </font>
    <font>
      <vertAlign val="subscript"/>
      <sz val="22"/>
      <name val="Calibri"/>
      <family val="2"/>
      <charset val="238"/>
    </font>
    <font>
      <sz val="24"/>
      <name val="Calibri"/>
      <family val="2"/>
      <charset val="238"/>
    </font>
    <font>
      <vertAlign val="subscript"/>
      <sz val="24"/>
      <name val="Calibri"/>
      <family val="2"/>
      <charset val="238"/>
    </font>
    <font>
      <b/>
      <sz val="22"/>
      <color rgb="FFFF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3">
    <xf numFmtId="0" fontId="0" fillId="0" borderId="0" xfId="0"/>
    <xf numFmtId="0" fontId="0" fillId="2" borderId="0" xfId="0" applyFill="1"/>
    <xf numFmtId="0" fontId="2" fillId="0" borderId="0" xfId="0" applyFont="1"/>
    <xf numFmtId="0" fontId="0" fillId="0" borderId="0" xfId="0" applyFill="1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11" fontId="0" fillId="2" borderId="1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11" fontId="0" fillId="0" borderId="4" xfId="0" applyNumberFormat="1" applyBorder="1" applyAlignment="1">
      <alignment horizontal="center"/>
    </xf>
    <xf numFmtId="0" fontId="4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7" fillId="0" borderId="0" xfId="0" applyFont="1"/>
    <xf numFmtId="0" fontId="11" fillId="0" borderId="0" xfId="0" applyFont="1"/>
    <xf numFmtId="0" fontId="0" fillId="0" borderId="0" xfId="0" quotePrefix="1"/>
    <xf numFmtId="0" fontId="12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5" fillId="0" borderId="0" xfId="0" applyFont="1"/>
    <xf numFmtId="11" fontId="0" fillId="0" borderId="0" xfId="0" applyNumberFormat="1"/>
    <xf numFmtId="0" fontId="13" fillId="0" borderId="0" xfId="0" applyFont="1"/>
    <xf numFmtId="0" fontId="8" fillId="0" borderId="0" xfId="0" applyFont="1" applyAlignment="1">
      <alignment horizontal="center"/>
    </xf>
    <xf numFmtId="0" fontId="20" fillId="0" borderId="0" xfId="0" applyFont="1"/>
    <xf numFmtId="0" fontId="21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2" fillId="0" borderId="0" xfId="0" applyFont="1"/>
    <xf numFmtId="0" fontId="22" fillId="0" borderId="0" xfId="0" applyFont="1" applyAlignment="1">
      <alignment horizontal="center"/>
    </xf>
    <xf numFmtId="0" fontId="22" fillId="0" borderId="2" xfId="0" applyFont="1" applyBorder="1" applyAlignment="1">
      <alignment horizontal="center"/>
    </xf>
    <xf numFmtId="0" fontId="22" fillId="0" borderId="3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11" fontId="22" fillId="2" borderId="1" xfId="0" applyNumberFormat="1" applyFont="1" applyFill="1" applyBorder="1"/>
    <xf numFmtId="164" fontId="22" fillId="0" borderId="0" xfId="0" applyNumberFormat="1" applyFont="1"/>
    <xf numFmtId="164" fontId="22" fillId="0" borderId="4" xfId="0" applyNumberFormat="1" applyFont="1" applyBorder="1"/>
    <xf numFmtId="0" fontId="23" fillId="0" borderId="0" xfId="0" applyFont="1"/>
    <xf numFmtId="0" fontId="27" fillId="0" borderId="0" xfId="0" applyFont="1"/>
    <xf numFmtId="0" fontId="27" fillId="0" borderId="0" xfId="0" applyFont="1" applyAlignment="1">
      <alignment horizontal="center"/>
    </xf>
    <xf numFmtId="11" fontId="27" fillId="0" borderId="0" xfId="0" applyNumberFormat="1" applyFont="1"/>
    <xf numFmtId="0" fontId="27" fillId="0" borderId="2" xfId="0" applyFont="1" applyBorder="1" applyAlignment="1">
      <alignment horizontal="center"/>
    </xf>
    <xf numFmtId="0" fontId="27" fillId="0" borderId="3" xfId="0" applyFont="1" applyBorder="1" applyAlignment="1">
      <alignment horizontal="center"/>
    </xf>
    <xf numFmtId="0" fontId="27" fillId="0" borderId="5" xfId="0" applyFont="1" applyBorder="1" applyAlignment="1">
      <alignment horizontal="center"/>
    </xf>
    <xf numFmtId="0" fontId="27" fillId="0" borderId="6" xfId="0" applyFont="1" applyBorder="1" applyAlignment="1">
      <alignment horizontal="center"/>
    </xf>
    <xf numFmtId="0" fontId="31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164" fontId="27" fillId="0" borderId="0" xfId="0" applyNumberFormat="1" applyFont="1" applyFill="1"/>
    <xf numFmtId="164" fontId="27" fillId="0" borderId="0" xfId="0" applyNumberFormat="1" applyFont="1"/>
    <xf numFmtId="164" fontId="27" fillId="2" borderId="1" xfId="0" applyNumberFormat="1" applyFont="1" applyFill="1" applyBorder="1"/>
    <xf numFmtId="164" fontId="27" fillId="0" borderId="4" xfId="0" applyNumberFormat="1" applyFont="1" applyBorder="1"/>
    <xf numFmtId="164" fontId="8" fillId="3" borderId="0" xfId="0" applyNumberFormat="1" applyFont="1" applyFill="1"/>
    <xf numFmtId="0" fontId="4" fillId="0" borderId="7" xfId="0" applyFont="1" applyBorder="1" applyAlignment="1">
      <alignment horizontal="center"/>
    </xf>
    <xf numFmtId="0" fontId="34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8" fillId="0" borderId="0" xfId="0" applyFont="1" applyAlignment="1">
      <alignment horizontal="right"/>
    </xf>
    <xf numFmtId="165" fontId="27" fillId="0" borderId="0" xfId="0" applyNumberFormat="1" applyFont="1"/>
    <xf numFmtId="0" fontId="1" fillId="0" borderId="0" xfId="0" applyFont="1"/>
    <xf numFmtId="164" fontId="27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0" fontId="4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40" fillId="0" borderId="0" xfId="0" applyFont="1"/>
    <xf numFmtId="0" fontId="41" fillId="0" borderId="0" xfId="0" applyFont="1" applyAlignment="1">
      <alignment horizontal="center"/>
    </xf>
    <xf numFmtId="2" fontId="22" fillId="0" borderId="0" xfId="0" applyNumberFormat="1" applyFont="1" applyAlignment="1">
      <alignment horizontal="center"/>
    </xf>
    <xf numFmtId="11" fontId="0" fillId="0" borderId="0" xfId="0" applyNumberFormat="1" applyFill="1"/>
    <xf numFmtId="0" fontId="42" fillId="0" borderId="0" xfId="0" applyFont="1"/>
    <xf numFmtId="0" fontId="31" fillId="0" borderId="0" xfId="0" applyFont="1"/>
    <xf numFmtId="0" fontId="27" fillId="2" borderId="0" xfId="0" applyFont="1" applyFill="1"/>
    <xf numFmtId="164" fontId="0" fillId="0" borderId="0" xfId="0" applyNumberFormat="1"/>
    <xf numFmtId="0" fontId="44" fillId="0" borderId="0" xfId="0" applyFont="1" applyAlignment="1">
      <alignment horizontal="center"/>
    </xf>
    <xf numFmtId="0" fontId="0" fillId="0" borderId="0" xfId="0" applyFill="1" applyAlignment="1">
      <alignment horizontal="center"/>
    </xf>
    <xf numFmtId="0" fontId="45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0" fontId="52" fillId="0" borderId="0" xfId="0" applyFont="1"/>
    <xf numFmtId="0" fontId="53" fillId="0" borderId="0" xfId="0" applyFont="1"/>
    <xf numFmtId="0" fontId="54" fillId="0" borderId="0" xfId="0" applyFont="1" applyAlignment="1">
      <alignment horizontal="center"/>
    </xf>
    <xf numFmtId="0" fontId="53" fillId="0" borderId="0" xfId="0" applyFont="1" applyAlignment="1">
      <alignment horizontal="center"/>
    </xf>
    <xf numFmtId="0" fontId="52" fillId="0" borderId="0" xfId="0" applyFont="1" applyAlignment="1">
      <alignment horizontal="center"/>
    </xf>
    <xf numFmtId="0" fontId="52" fillId="0" borderId="0" xfId="0" applyNumberFormat="1" applyFont="1"/>
    <xf numFmtId="49" fontId="52" fillId="0" borderId="0" xfId="0" applyNumberFormat="1" applyFont="1"/>
    <xf numFmtId="0" fontId="55" fillId="0" borderId="0" xfId="0" applyFont="1" applyAlignment="1">
      <alignment horizontal="center"/>
    </xf>
    <xf numFmtId="0" fontId="58" fillId="0" borderId="0" xfId="0" applyFont="1"/>
    <xf numFmtId="0" fontId="59" fillId="0" borderId="0" xfId="0" applyFont="1"/>
    <xf numFmtId="0" fontId="28" fillId="0" borderId="0" xfId="0" applyFont="1" applyAlignment="1">
      <alignment horizontal="center"/>
    </xf>
    <xf numFmtId="0" fontId="22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2" fillId="0" borderId="8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22" fillId="0" borderId="0" xfId="0" applyFont="1" applyFill="1" applyAlignment="1">
      <alignment horizontal="center"/>
    </xf>
    <xf numFmtId="0" fontId="63" fillId="0" borderId="0" xfId="0" applyFont="1"/>
    <xf numFmtId="0" fontId="64" fillId="0" borderId="0" xfId="0" applyFont="1"/>
    <xf numFmtId="0" fontId="65" fillId="0" borderId="0" xfId="0" applyFont="1" applyAlignment="1">
      <alignment horizontal="center"/>
    </xf>
    <xf numFmtId="0" fontId="66" fillId="0" borderId="0" xfId="0" applyFont="1" applyAlignment="1">
      <alignment horizontal="center"/>
    </xf>
    <xf numFmtId="0" fontId="46" fillId="0" borderId="0" xfId="0" applyFont="1"/>
    <xf numFmtId="11" fontId="46" fillId="0" borderId="0" xfId="0" applyNumberFormat="1" applyFont="1"/>
    <xf numFmtId="0" fontId="71" fillId="0" borderId="0" xfId="0" applyFont="1" applyAlignment="1">
      <alignment horizontal="center"/>
    </xf>
    <xf numFmtId="11" fontId="46" fillId="0" borderId="0" xfId="0" applyNumberFormat="1" applyFont="1" applyAlignment="1">
      <alignment horizontal="center"/>
    </xf>
    <xf numFmtId="0" fontId="72" fillId="0" borderId="0" xfId="0" applyFont="1"/>
    <xf numFmtId="11" fontId="0" fillId="0" borderId="9" xfId="0" applyNumberFormat="1" applyFill="1" applyBorder="1" applyAlignment="1">
      <alignment horizontal="center"/>
    </xf>
    <xf numFmtId="0" fontId="75" fillId="0" borderId="0" xfId="0" applyFont="1" applyAlignment="1">
      <alignment horizontal="center"/>
    </xf>
    <xf numFmtId="0" fontId="13" fillId="3" borderId="0" xfId="0" applyFont="1" applyFill="1" applyAlignment="1">
      <alignment horizontal="center"/>
    </xf>
    <xf numFmtId="0" fontId="2" fillId="3" borderId="0" xfId="0" applyFont="1" applyFill="1" applyAlignment="1">
      <alignment horizontal="center"/>
    </xf>
    <xf numFmtId="0" fontId="2" fillId="3" borderId="0" xfId="0" applyFont="1" applyFill="1"/>
    <xf numFmtId="0" fontId="12" fillId="4" borderId="0" xfId="0" applyFont="1" applyFill="1" applyAlignment="1">
      <alignment horizontal="center"/>
    </xf>
    <xf numFmtId="0" fontId="0" fillId="4" borderId="0" xfId="0" applyFill="1"/>
    <xf numFmtId="0" fontId="15" fillId="2" borderId="12" xfId="0" applyFont="1" applyFill="1" applyBorder="1"/>
    <xf numFmtId="0" fontId="15" fillId="2" borderId="10" xfId="0" applyFont="1" applyFill="1" applyBorder="1"/>
    <xf numFmtId="11" fontId="0" fillId="2" borderId="10" xfId="0" applyNumberFormat="1" applyFill="1" applyBorder="1" applyAlignment="1">
      <alignment horizontal="center"/>
    </xf>
    <xf numFmtId="164" fontId="27" fillId="2" borderId="10" xfId="0" applyNumberFormat="1" applyFont="1" applyFill="1" applyBorder="1"/>
    <xf numFmtId="0" fontId="22" fillId="0" borderId="0" xfId="0" applyFont="1" applyAlignment="1">
      <alignment horizontal="right"/>
    </xf>
    <xf numFmtId="164" fontId="22" fillId="0" borderId="0" xfId="0" applyNumberFormat="1" applyFont="1" applyAlignment="1">
      <alignment horizontal="left"/>
    </xf>
    <xf numFmtId="164" fontId="22" fillId="2" borderId="10" xfId="0" applyNumberFormat="1" applyFont="1" applyFill="1" applyBorder="1"/>
    <xf numFmtId="0" fontId="0" fillId="2" borderId="10" xfId="0" applyFill="1" applyBorder="1"/>
    <xf numFmtId="0" fontId="22" fillId="2" borderId="11" xfId="0" applyFont="1" applyFill="1" applyBorder="1" applyAlignment="1">
      <alignment horizontal="center"/>
    </xf>
    <xf numFmtId="0" fontId="22" fillId="2" borderId="13" xfId="0" applyFont="1" applyFill="1" applyBorder="1" applyAlignment="1">
      <alignment horizontal="center"/>
    </xf>
    <xf numFmtId="0" fontId="22" fillId="2" borderId="12" xfId="0" applyFont="1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79" fillId="0" borderId="0" xfId="0" applyFont="1" applyAlignment="1">
      <alignment horizontal="center"/>
    </xf>
    <xf numFmtId="0" fontId="80" fillId="0" borderId="0" xfId="0" applyFont="1" applyAlignment="1">
      <alignment horizontal="center"/>
    </xf>
    <xf numFmtId="0" fontId="52" fillId="0" borderId="7" xfId="0" applyFont="1" applyBorder="1" applyAlignment="1">
      <alignment horizontal="center"/>
    </xf>
    <xf numFmtId="0" fontId="0" fillId="0" borderId="7" xfId="0" applyBorder="1"/>
    <xf numFmtId="0" fontId="44" fillId="0" borderId="7" xfId="0" applyFont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7" fillId="0" borderId="7" xfId="0" applyFont="1" applyBorder="1"/>
    <xf numFmtId="0" fontId="82" fillId="0" borderId="0" xfId="0" applyFont="1" applyAlignment="1">
      <alignment horizontal="center"/>
    </xf>
    <xf numFmtId="0" fontId="85" fillId="0" borderId="0" xfId="0" applyFont="1" applyAlignment="1">
      <alignment horizontal="center"/>
    </xf>
    <xf numFmtId="0" fontId="87" fillId="0" borderId="0" xfId="0" applyFont="1"/>
    <xf numFmtId="0" fontId="7" fillId="3" borderId="7" xfId="0" applyFont="1" applyFill="1" applyBorder="1" applyAlignment="1">
      <alignment horizontal="center"/>
    </xf>
    <xf numFmtId="0" fontId="7" fillId="4" borderId="7" xfId="0" applyFont="1" applyFill="1" applyBorder="1" applyAlignment="1">
      <alignment horizontal="center"/>
    </xf>
    <xf numFmtId="0" fontId="0" fillId="2" borderId="10" xfId="0" applyNumberFormat="1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2" fontId="71" fillId="0" borderId="7" xfId="0" applyNumberFormat="1" applyFont="1" applyBorder="1" applyAlignment="1">
      <alignment horizontal="center"/>
    </xf>
    <xf numFmtId="0" fontId="89" fillId="0" borderId="0" xfId="0" applyFont="1" applyAlignment="1">
      <alignment horizontal="center"/>
    </xf>
    <xf numFmtId="0" fontId="90" fillId="0" borderId="0" xfId="0" applyFont="1" applyAlignment="1">
      <alignment horizontal="center"/>
    </xf>
    <xf numFmtId="0" fontId="87" fillId="0" borderId="0" xfId="0" applyFont="1" applyAlignment="1">
      <alignment horizontal="right"/>
    </xf>
    <xf numFmtId="2" fontId="0" fillId="0" borderId="7" xfId="0" applyNumberFormat="1" applyBorder="1"/>
    <xf numFmtId="11" fontId="0" fillId="0" borderId="7" xfId="0" applyNumberFormat="1" applyBorder="1"/>
    <xf numFmtId="0" fontId="0" fillId="0" borderId="10" xfId="0" applyBorder="1"/>
    <xf numFmtId="0" fontId="46" fillId="2" borderId="10" xfId="0" applyFont="1" applyFill="1" applyBorder="1" applyAlignment="1">
      <alignment horizontal="center"/>
    </xf>
    <xf numFmtId="11" fontId="46" fillId="2" borderId="10" xfId="0" applyNumberFormat="1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2" fontId="73" fillId="0" borderId="7" xfId="0" applyNumberFormat="1" applyFont="1" applyBorder="1"/>
    <xf numFmtId="0" fontId="9" fillId="2" borderId="10" xfId="0" applyFont="1" applyFill="1" applyBorder="1"/>
    <xf numFmtId="11" fontId="9" fillId="2" borderId="10" xfId="0" applyNumberFormat="1" applyFont="1" applyFill="1" applyBorder="1"/>
    <xf numFmtId="0" fontId="97" fillId="0" borderId="0" xfId="0" applyFont="1"/>
    <xf numFmtId="0" fontId="96" fillId="2" borderId="7" xfId="0" applyFont="1" applyFill="1" applyBorder="1" applyAlignment="1">
      <alignment horizontal="center"/>
    </xf>
    <xf numFmtId="0" fontId="15" fillId="0" borderId="7" xfId="0" applyFont="1" applyBorder="1" applyAlignment="1">
      <alignment horizontal="center"/>
    </xf>
    <xf numFmtId="0" fontId="17" fillId="0" borderId="7" xfId="0" applyFont="1" applyBorder="1" applyAlignment="1">
      <alignment horizontal="center"/>
    </xf>
    <xf numFmtId="0" fontId="58" fillId="0" borderId="7" xfId="0" applyFont="1" applyBorder="1" applyAlignment="1">
      <alignment horizontal="center"/>
    </xf>
    <xf numFmtId="11" fontId="46" fillId="2" borderId="11" xfId="0" applyNumberFormat="1" applyFont="1" applyFill="1" applyBorder="1" applyAlignment="1">
      <alignment horizontal="center"/>
    </xf>
    <xf numFmtId="11" fontId="0" fillId="2" borderId="7" xfId="0" applyNumberFormat="1" applyFill="1" applyBorder="1"/>
    <xf numFmtId="0" fontId="65" fillId="0" borderId="7" xfId="0" applyFont="1" applyBorder="1" applyAlignment="1">
      <alignment horizontal="center"/>
    </xf>
    <xf numFmtId="0" fontId="71" fillId="0" borderId="7" xfId="0" applyFont="1" applyBorder="1" applyAlignment="1">
      <alignment horizontal="center"/>
    </xf>
    <xf numFmtId="0" fontId="66" fillId="0" borderId="7" xfId="0" applyFont="1" applyBorder="1" applyAlignment="1">
      <alignment horizontal="center"/>
    </xf>
    <xf numFmtId="0" fontId="99" fillId="0" borderId="0" xfId="0" applyFont="1" applyAlignment="1">
      <alignment horizontal="right"/>
    </xf>
    <xf numFmtId="0" fontId="22" fillId="0" borderId="7" xfId="0" applyFont="1" applyBorder="1" applyAlignment="1">
      <alignment horizontal="center"/>
    </xf>
    <xf numFmtId="0" fontId="78" fillId="0" borderId="7" xfId="0" applyFont="1" applyBorder="1" applyAlignment="1">
      <alignment horizontal="center"/>
    </xf>
    <xf numFmtId="0" fontId="22" fillId="2" borderId="7" xfId="0" applyFont="1" applyFill="1" applyBorder="1" applyAlignment="1">
      <alignment horizontal="center"/>
    </xf>
    <xf numFmtId="0" fontId="8" fillId="0" borderId="7" xfId="0" applyFont="1" applyBorder="1" applyAlignment="1">
      <alignment horizontal="center"/>
    </xf>
    <xf numFmtId="11" fontId="22" fillId="2" borderId="7" xfId="0" applyNumberFormat="1" applyFont="1" applyFill="1" applyBorder="1" applyAlignment="1">
      <alignment horizontal="center"/>
    </xf>
    <xf numFmtId="11" fontId="0" fillId="2" borderId="10" xfId="0" applyNumberFormat="1" applyFill="1" applyBorder="1"/>
    <xf numFmtId="164" fontId="15" fillId="0" borderId="0" xfId="0" applyNumberFormat="1" applyFont="1"/>
    <xf numFmtId="0" fontId="105" fillId="0" borderId="0" xfId="0" applyFont="1" applyAlignment="1">
      <alignment vertical="center"/>
    </xf>
    <xf numFmtId="0" fontId="106" fillId="0" borderId="0" xfId="0" applyFont="1" applyAlignment="1">
      <alignment vertical="center"/>
    </xf>
    <xf numFmtId="0" fontId="106" fillId="2" borderId="0" xfId="0" applyFont="1" applyFill="1" applyAlignment="1">
      <alignment vertical="center"/>
    </xf>
    <xf numFmtId="0" fontId="109" fillId="2" borderId="0" xfId="0" applyFont="1" applyFill="1" applyAlignment="1">
      <alignment vertical="center"/>
    </xf>
    <xf numFmtId="0" fontId="0" fillId="0" borderId="0" xfId="0" applyAlignment="1">
      <alignment horizontal="right"/>
    </xf>
    <xf numFmtId="0" fontId="45" fillId="0" borderId="0" xfId="0" applyFont="1"/>
    <xf numFmtId="0" fontId="2" fillId="0" borderId="7" xfId="0" applyFont="1" applyBorder="1" applyAlignment="1">
      <alignment horizontal="center"/>
    </xf>
    <xf numFmtId="0" fontId="96" fillId="0" borderId="0" xfId="0" applyFont="1" applyAlignment="1">
      <alignment horizontal="center"/>
    </xf>
    <xf numFmtId="0" fontId="96" fillId="0" borderId="7" xfId="0" applyFont="1" applyBorder="1" applyAlignment="1">
      <alignment horizontal="center"/>
    </xf>
    <xf numFmtId="11" fontId="96" fillId="2" borderId="7" xfId="0" applyNumberFormat="1" applyFont="1" applyFill="1" applyBorder="1" applyAlignment="1">
      <alignment horizontal="center"/>
    </xf>
    <xf numFmtId="11" fontId="96" fillId="0" borderId="7" xfId="0" applyNumberFormat="1" applyFont="1" applyBorder="1" applyAlignment="1">
      <alignment horizontal="center"/>
    </xf>
    <xf numFmtId="0" fontId="111" fillId="0" borderId="0" xfId="0" applyFont="1"/>
  </cellXfs>
  <cellStyles count="1">
    <cellStyle name="Normá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556992016482101"/>
          <c:y val="8.6378877665070963E-2"/>
          <c:w val="0.70042338398145765"/>
          <c:h val="0.6843864922694084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'D -től függő speciális esetek'!$B$9</c:f>
              <c:strCache>
                <c:ptCount val="1"/>
                <c:pt idx="0">
                  <c:v>y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'D -től függő speciális esetek'!$A$10:$A$35</c:f>
              <c:numCache>
                <c:formatCode>General</c:formatCode>
                <c:ptCount val="26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</c:numCache>
            </c:numRef>
          </c:xVal>
          <c:yVal>
            <c:numRef>
              <c:f>'D -től függő speciális esetek'!$B$10:$B$35</c:f>
              <c:numCache>
                <c:formatCode>General</c:formatCode>
                <c:ptCount val="26"/>
                <c:pt idx="0">
                  <c:v>3</c:v>
                </c:pt>
                <c:pt idx="1">
                  <c:v>1.8898271073859179</c:v>
                </c:pt>
                <c:pt idx="2">
                  <c:v>1.6876204620920925</c:v>
                </c:pt>
                <c:pt idx="3">
                  <c:v>1.5463403968369622</c:v>
                </c:pt>
                <c:pt idx="4">
                  <c:v>1.4190782374297053</c:v>
                </c:pt>
                <c:pt idx="5">
                  <c:v>1.3024086438442721</c:v>
                </c:pt>
                <c:pt idx="6">
                  <c:v>1.1953375045779284</c:v>
                </c:pt>
                <c:pt idx="7">
                  <c:v>1.0970690442136772</c:v>
                </c:pt>
                <c:pt idx="8">
                  <c:v>1.0068792335860863</c:v>
                </c:pt>
                <c:pt idx="9">
                  <c:v>0.92410390896082861</c:v>
                </c:pt>
                <c:pt idx="10">
                  <c:v>0.84813352597560754</c:v>
                </c:pt>
                <c:pt idx="11">
                  <c:v>0.77840865178843477</c:v>
                </c:pt>
                <c:pt idx="12">
                  <c:v>0.71441584446533524</c:v>
                </c:pt>
                <c:pt idx="13">
                  <c:v>0.65568387202593492</c:v>
                </c:pt>
                <c:pt idx="14">
                  <c:v>0.60178024236944339</c:v>
                </c:pt>
                <c:pt idx="15">
                  <c:v>0.55230801847739097</c:v>
                </c:pt>
                <c:pt idx="16">
                  <c:v>0.50690289543794975</c:v>
                </c:pt>
                <c:pt idx="17">
                  <c:v>0.46523051776749552</c:v>
                </c:pt>
                <c:pt idx="18">
                  <c:v>0.42698401727458263</c:v>
                </c:pt>
                <c:pt idx="19">
                  <c:v>0.39188175333556707</c:v>
                </c:pt>
                <c:pt idx="20">
                  <c:v>0.35966523894172114</c:v>
                </c:pt>
                <c:pt idx="21">
                  <c:v>0.33009723724553108</c:v>
                </c:pt>
                <c:pt idx="22">
                  <c:v>0.30296001458953503</c:v>
                </c:pt>
                <c:pt idx="23">
                  <c:v>0.27805373715327431</c:v>
                </c:pt>
                <c:pt idx="24">
                  <c:v>0.25519499941155854</c:v>
                </c:pt>
                <c:pt idx="25">
                  <c:v>0.23421547356785433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15D-496C-8820-CC5D5215C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1012320"/>
        <c:axId val="1"/>
      </c:scatterChart>
      <c:valAx>
        <c:axId val="291012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u-HU"/>
                  <a:t>ido</a:t>
                </a:r>
              </a:p>
            </c:rich>
          </c:tx>
          <c:layout>
            <c:manualLayout>
              <c:xMode val="edge"/>
              <c:yMode val="edge"/>
              <c:x val="0.47046502098630072"/>
              <c:y val="0.873755547998360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u-HU"/>
                  <a:t>kiteres </a:t>
                </a:r>
              </a:p>
            </c:rich>
          </c:tx>
          <c:layout>
            <c:manualLayout>
              <c:xMode val="edge"/>
              <c:yMode val="edge"/>
              <c:x val="3.3755274261603373E-2"/>
              <c:y val="0.352160166025758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29101232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9240683522154662"/>
          <c:y val="0.39202727566030987"/>
          <c:w val="9.0717521069360041E-2"/>
          <c:h val="7.30897009966777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713108421323719"/>
          <c:y val="8.6378877665070963E-2"/>
          <c:w val="0.68776513005408191"/>
          <c:h val="0.6843864922694084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'csillapitott gerjesztett rezgés'!$D$10</c:f>
              <c:strCache>
                <c:ptCount val="1"/>
                <c:pt idx="0">
                  <c:v>N0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'csillapitott gerjesztett rezgés'!$A$11:$A$68</c:f>
              <c:numCache>
                <c:formatCode>General</c:formatCode>
                <c:ptCount val="58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0.91</c:v>
                </c:pt>
                <c:pt idx="11">
                  <c:v>0.92</c:v>
                </c:pt>
                <c:pt idx="12">
                  <c:v>0.93</c:v>
                </c:pt>
                <c:pt idx="13">
                  <c:v>0.94</c:v>
                </c:pt>
                <c:pt idx="14">
                  <c:v>0.95</c:v>
                </c:pt>
                <c:pt idx="15">
                  <c:v>0.96</c:v>
                </c:pt>
                <c:pt idx="16">
                  <c:v>0.97</c:v>
                </c:pt>
                <c:pt idx="17">
                  <c:v>0.98</c:v>
                </c:pt>
                <c:pt idx="18">
                  <c:v>0.99</c:v>
                </c:pt>
                <c:pt idx="19">
                  <c:v>1.01</c:v>
                </c:pt>
                <c:pt idx="20">
                  <c:v>1.02</c:v>
                </c:pt>
                <c:pt idx="21">
                  <c:v>1.03</c:v>
                </c:pt>
                <c:pt idx="22">
                  <c:v>1.04</c:v>
                </c:pt>
                <c:pt idx="23">
                  <c:v>1.05</c:v>
                </c:pt>
                <c:pt idx="24">
                  <c:v>1.06</c:v>
                </c:pt>
                <c:pt idx="25">
                  <c:v>1.07</c:v>
                </c:pt>
                <c:pt idx="26">
                  <c:v>1.08</c:v>
                </c:pt>
                <c:pt idx="27">
                  <c:v>1.0900000000000001</c:v>
                </c:pt>
                <c:pt idx="28">
                  <c:v>1.1000000000000001</c:v>
                </c:pt>
                <c:pt idx="29">
                  <c:v>1.2</c:v>
                </c:pt>
                <c:pt idx="30">
                  <c:v>1.3</c:v>
                </c:pt>
                <c:pt idx="31">
                  <c:v>1.4</c:v>
                </c:pt>
                <c:pt idx="32">
                  <c:v>1.5</c:v>
                </c:pt>
                <c:pt idx="33">
                  <c:v>1.6</c:v>
                </c:pt>
                <c:pt idx="34">
                  <c:v>1.7</c:v>
                </c:pt>
                <c:pt idx="35">
                  <c:v>1.8</c:v>
                </c:pt>
                <c:pt idx="36">
                  <c:v>1.9</c:v>
                </c:pt>
                <c:pt idx="37">
                  <c:v>2</c:v>
                </c:pt>
                <c:pt idx="38">
                  <c:v>2.1</c:v>
                </c:pt>
                <c:pt idx="39">
                  <c:v>2.2000000000000002</c:v>
                </c:pt>
                <c:pt idx="40">
                  <c:v>2.2999999999999998</c:v>
                </c:pt>
                <c:pt idx="41">
                  <c:v>2.4</c:v>
                </c:pt>
                <c:pt idx="42">
                  <c:v>2.5</c:v>
                </c:pt>
                <c:pt idx="43">
                  <c:v>2.6</c:v>
                </c:pt>
                <c:pt idx="44">
                  <c:v>2.7</c:v>
                </c:pt>
                <c:pt idx="45">
                  <c:v>2.8</c:v>
                </c:pt>
                <c:pt idx="46">
                  <c:v>2.9</c:v>
                </c:pt>
                <c:pt idx="47">
                  <c:v>3</c:v>
                </c:pt>
                <c:pt idx="48">
                  <c:v>3.1</c:v>
                </c:pt>
                <c:pt idx="49">
                  <c:v>3.2</c:v>
                </c:pt>
                <c:pt idx="50">
                  <c:v>3.3</c:v>
                </c:pt>
                <c:pt idx="51">
                  <c:v>3.4</c:v>
                </c:pt>
                <c:pt idx="52">
                  <c:v>3.5</c:v>
                </c:pt>
                <c:pt idx="53">
                  <c:v>3.6</c:v>
                </c:pt>
                <c:pt idx="54">
                  <c:v>3.7</c:v>
                </c:pt>
                <c:pt idx="55">
                  <c:v>3.8</c:v>
                </c:pt>
                <c:pt idx="56">
                  <c:v>3.9</c:v>
                </c:pt>
                <c:pt idx="57">
                  <c:v>4</c:v>
                </c:pt>
              </c:numCache>
            </c:numRef>
          </c:xVal>
          <c:yVal>
            <c:numRef>
              <c:f>'csillapitott gerjesztett rezgés'!$D$11:$D$68</c:f>
              <c:numCache>
                <c:formatCode>General</c:formatCode>
                <c:ptCount val="58"/>
                <c:pt idx="0">
                  <c:v>1</c:v>
                </c:pt>
                <c:pt idx="1">
                  <c:v>1.0101010101010102</c:v>
                </c:pt>
                <c:pt idx="2">
                  <c:v>1.0416666666666667</c:v>
                </c:pt>
                <c:pt idx="3">
                  <c:v>1.0989010989010988</c:v>
                </c:pt>
                <c:pt idx="4">
                  <c:v>1.1904761904761905</c:v>
                </c:pt>
                <c:pt idx="5">
                  <c:v>1.3333333333333333</c:v>
                </c:pt>
                <c:pt idx="6">
                  <c:v>1.5625</c:v>
                </c:pt>
                <c:pt idx="7">
                  <c:v>1.9607843137254901</c:v>
                </c:pt>
                <c:pt idx="8">
                  <c:v>2.7777777777777786</c:v>
                </c:pt>
                <c:pt idx="9">
                  <c:v>5.2631578947368434</c:v>
                </c:pt>
                <c:pt idx="10">
                  <c:v>5.8173356602675996</c:v>
                </c:pt>
                <c:pt idx="11">
                  <c:v>6.5104166666666687</c:v>
                </c:pt>
                <c:pt idx="12">
                  <c:v>7.4019245003701029</c:v>
                </c:pt>
                <c:pt idx="13">
                  <c:v>8.5910652920962161</c:v>
                </c:pt>
                <c:pt idx="14">
                  <c:v>10.256410256410254</c:v>
                </c:pt>
                <c:pt idx="15">
                  <c:v>12.755102040816322</c:v>
                </c:pt>
                <c:pt idx="16">
                  <c:v>16.920473773265641</c:v>
                </c:pt>
                <c:pt idx="17">
                  <c:v>25.252525252525203</c:v>
                </c:pt>
                <c:pt idx="18">
                  <c:v>50.25125628140696</c:v>
                </c:pt>
                <c:pt idx="19">
                  <c:v>49.751243781094509</c:v>
                </c:pt>
                <c:pt idx="20">
                  <c:v>24.752475247524757</c:v>
                </c:pt>
                <c:pt idx="21">
                  <c:v>16.420361247947469</c:v>
                </c:pt>
                <c:pt idx="22">
                  <c:v>12.254901960784297</c:v>
                </c:pt>
                <c:pt idx="23">
                  <c:v>9.756097560975606</c:v>
                </c:pt>
                <c:pt idx="24">
                  <c:v>8.0906148867313821</c:v>
                </c:pt>
                <c:pt idx="25">
                  <c:v>6.9013112491373345</c:v>
                </c:pt>
                <c:pt idx="26">
                  <c:v>6.0096153846153806</c:v>
                </c:pt>
                <c:pt idx="27">
                  <c:v>5.3163211057947857</c:v>
                </c:pt>
                <c:pt idx="28">
                  <c:v>4.7619047619047574</c:v>
                </c:pt>
                <c:pt idx="29">
                  <c:v>2.2727272727272729</c:v>
                </c:pt>
                <c:pt idx="30">
                  <c:v>1.4492753623188401</c:v>
                </c:pt>
                <c:pt idx="31">
                  <c:v>1.041666666666667</c:v>
                </c:pt>
                <c:pt idx="32">
                  <c:v>0.8</c:v>
                </c:pt>
                <c:pt idx="33">
                  <c:v>0.64102564102564086</c:v>
                </c:pt>
                <c:pt idx="34">
                  <c:v>0.52910052910052918</c:v>
                </c:pt>
                <c:pt idx="35">
                  <c:v>0.4464285714285714</c:v>
                </c:pt>
                <c:pt idx="36">
                  <c:v>0.38314176245210729</c:v>
                </c:pt>
                <c:pt idx="37">
                  <c:v>0.33333333333333331</c:v>
                </c:pt>
                <c:pt idx="38">
                  <c:v>0.29325513196480935</c:v>
                </c:pt>
                <c:pt idx="39">
                  <c:v>0.26041666666666663</c:v>
                </c:pt>
                <c:pt idx="40">
                  <c:v>0.23310023310023315</c:v>
                </c:pt>
                <c:pt idx="41">
                  <c:v>0.21008403361344538</c:v>
                </c:pt>
                <c:pt idx="42">
                  <c:v>0.19047619047619047</c:v>
                </c:pt>
                <c:pt idx="43">
                  <c:v>0.17361111111111108</c:v>
                </c:pt>
                <c:pt idx="44">
                  <c:v>0.15898251192368837</c:v>
                </c:pt>
                <c:pt idx="45">
                  <c:v>0.14619883040935674</c:v>
                </c:pt>
                <c:pt idx="46">
                  <c:v>0.1349527665317139</c:v>
                </c:pt>
                <c:pt idx="47">
                  <c:v>0.125</c:v>
                </c:pt>
                <c:pt idx="48">
                  <c:v>0.11614401858304296</c:v>
                </c:pt>
                <c:pt idx="49">
                  <c:v>0.1082251082251082</c:v>
                </c:pt>
                <c:pt idx="50">
                  <c:v>0.10111223458038424</c:v>
                </c:pt>
                <c:pt idx="51">
                  <c:v>9.469696969696971E-2</c:v>
                </c:pt>
                <c:pt idx="52">
                  <c:v>8.8888888888888892E-2</c:v>
                </c:pt>
                <c:pt idx="53">
                  <c:v>8.3612040133779264E-2</c:v>
                </c:pt>
                <c:pt idx="54">
                  <c:v>7.8802206461780919E-2</c:v>
                </c:pt>
                <c:pt idx="55">
                  <c:v>7.4404761904761904E-2</c:v>
                </c:pt>
                <c:pt idx="56">
                  <c:v>7.0372976776917673E-2</c:v>
                </c:pt>
                <c:pt idx="57">
                  <c:v>6.6666666666666666E-2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188-494B-A45A-06F502F27FFB}"/>
            </c:ext>
          </c:extLst>
        </c:ser>
        <c:ser>
          <c:idx val="1"/>
          <c:order val="1"/>
          <c:tx>
            <c:strRef>
              <c:f>'csillapitott gerjesztett rezgés'!$E$10</c:f>
              <c:strCache>
                <c:ptCount val="1"/>
                <c:pt idx="0">
                  <c:v>N01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'csillapitott gerjesztett rezgés'!$A$11:$A$68</c:f>
              <c:numCache>
                <c:formatCode>General</c:formatCode>
                <c:ptCount val="58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0.91</c:v>
                </c:pt>
                <c:pt idx="11">
                  <c:v>0.92</c:v>
                </c:pt>
                <c:pt idx="12">
                  <c:v>0.93</c:v>
                </c:pt>
                <c:pt idx="13">
                  <c:v>0.94</c:v>
                </c:pt>
                <c:pt idx="14">
                  <c:v>0.95</c:v>
                </c:pt>
                <c:pt idx="15">
                  <c:v>0.96</c:v>
                </c:pt>
                <c:pt idx="16">
                  <c:v>0.97</c:v>
                </c:pt>
                <c:pt idx="17">
                  <c:v>0.98</c:v>
                </c:pt>
                <c:pt idx="18">
                  <c:v>0.99</c:v>
                </c:pt>
                <c:pt idx="19">
                  <c:v>1.01</c:v>
                </c:pt>
                <c:pt idx="20">
                  <c:v>1.02</c:v>
                </c:pt>
                <c:pt idx="21">
                  <c:v>1.03</c:v>
                </c:pt>
                <c:pt idx="22">
                  <c:v>1.04</c:v>
                </c:pt>
                <c:pt idx="23">
                  <c:v>1.05</c:v>
                </c:pt>
                <c:pt idx="24">
                  <c:v>1.06</c:v>
                </c:pt>
                <c:pt idx="25">
                  <c:v>1.07</c:v>
                </c:pt>
                <c:pt idx="26">
                  <c:v>1.08</c:v>
                </c:pt>
                <c:pt idx="27">
                  <c:v>1.0900000000000001</c:v>
                </c:pt>
                <c:pt idx="28">
                  <c:v>1.1000000000000001</c:v>
                </c:pt>
                <c:pt idx="29">
                  <c:v>1.2</c:v>
                </c:pt>
                <c:pt idx="30">
                  <c:v>1.3</c:v>
                </c:pt>
                <c:pt idx="31">
                  <c:v>1.4</c:v>
                </c:pt>
                <c:pt idx="32">
                  <c:v>1.5</c:v>
                </c:pt>
                <c:pt idx="33">
                  <c:v>1.6</c:v>
                </c:pt>
                <c:pt idx="34">
                  <c:v>1.7</c:v>
                </c:pt>
                <c:pt idx="35">
                  <c:v>1.8</c:v>
                </c:pt>
                <c:pt idx="36">
                  <c:v>1.9</c:v>
                </c:pt>
                <c:pt idx="37">
                  <c:v>2</c:v>
                </c:pt>
                <c:pt idx="38">
                  <c:v>2.1</c:v>
                </c:pt>
                <c:pt idx="39">
                  <c:v>2.2000000000000002</c:v>
                </c:pt>
                <c:pt idx="40">
                  <c:v>2.2999999999999998</c:v>
                </c:pt>
                <c:pt idx="41">
                  <c:v>2.4</c:v>
                </c:pt>
                <c:pt idx="42">
                  <c:v>2.5</c:v>
                </c:pt>
                <c:pt idx="43">
                  <c:v>2.6</c:v>
                </c:pt>
                <c:pt idx="44">
                  <c:v>2.7</c:v>
                </c:pt>
                <c:pt idx="45">
                  <c:v>2.8</c:v>
                </c:pt>
                <c:pt idx="46">
                  <c:v>2.9</c:v>
                </c:pt>
                <c:pt idx="47">
                  <c:v>3</c:v>
                </c:pt>
                <c:pt idx="48">
                  <c:v>3.1</c:v>
                </c:pt>
                <c:pt idx="49">
                  <c:v>3.2</c:v>
                </c:pt>
                <c:pt idx="50">
                  <c:v>3.3</c:v>
                </c:pt>
                <c:pt idx="51">
                  <c:v>3.4</c:v>
                </c:pt>
                <c:pt idx="52">
                  <c:v>3.5</c:v>
                </c:pt>
                <c:pt idx="53">
                  <c:v>3.6</c:v>
                </c:pt>
                <c:pt idx="54">
                  <c:v>3.7</c:v>
                </c:pt>
                <c:pt idx="55">
                  <c:v>3.8</c:v>
                </c:pt>
                <c:pt idx="56">
                  <c:v>3.9</c:v>
                </c:pt>
                <c:pt idx="57">
                  <c:v>4</c:v>
                </c:pt>
              </c:numCache>
            </c:numRef>
          </c:xVal>
          <c:yVal>
            <c:numRef>
              <c:f>'csillapitott gerjesztett rezgés'!$E$11:$E$68</c:f>
              <c:numCache>
                <c:formatCode>General</c:formatCode>
                <c:ptCount val="58"/>
                <c:pt idx="0">
                  <c:v>1</c:v>
                </c:pt>
                <c:pt idx="1">
                  <c:v>1.0098949511412771</c:v>
                </c:pt>
                <c:pt idx="2">
                  <c:v>1.0407636178045332</c:v>
                </c:pt>
                <c:pt idx="3">
                  <c:v>1.0965202319032639</c:v>
                </c:pt>
                <c:pt idx="4">
                  <c:v>1.1851136578499433</c:v>
                </c:pt>
                <c:pt idx="5">
                  <c:v>1.3216372009101796</c:v>
                </c:pt>
                <c:pt idx="6">
                  <c:v>1.5357377920848778</c:v>
                </c:pt>
                <c:pt idx="7">
                  <c:v>1.8908355841512123</c:v>
                </c:pt>
                <c:pt idx="8">
                  <c:v>2.538365412834048</c:v>
                </c:pt>
                <c:pt idx="9">
                  <c:v>3.8208035995043517</c:v>
                </c:pt>
                <c:pt idx="10">
                  <c:v>3.9944560271995577</c:v>
                </c:pt>
                <c:pt idx="11">
                  <c:v>4.1721403969880368</c:v>
                </c:pt>
                <c:pt idx="12">
                  <c:v>4.3499641798780724</c:v>
                </c:pt>
                <c:pt idx="13">
                  <c:v>4.5224818728865488</c:v>
                </c:pt>
                <c:pt idx="14">
                  <c:v>4.6826081664798602</c:v>
                </c:pt>
                <c:pt idx="15">
                  <c:v>4.8218361814216202</c:v>
                </c:pt>
                <c:pt idx="16">
                  <c:v>4.9309083220408478</c:v>
                </c:pt>
                <c:pt idx="17">
                  <c:v>5.000990294127063</c:v>
                </c:pt>
                <c:pt idx="18">
                  <c:v>5.0251884418026096</c:v>
                </c:pt>
                <c:pt idx="19">
                  <c:v>4.9261675475644031</c:v>
                </c:pt>
                <c:pt idx="20">
                  <c:v>4.8085726558323767</c:v>
                </c:pt>
                <c:pt idx="21">
                  <c:v>4.6552024090858799</c:v>
                </c:pt>
                <c:pt idx="22">
                  <c:v>4.4756032051611436</c:v>
                </c:pt>
                <c:pt idx="23">
                  <c:v>4.2793600053776144</c:v>
                </c:pt>
                <c:pt idx="24">
                  <c:v>4.0749863918094142</c:v>
                </c:pt>
                <c:pt idx="25">
                  <c:v>3.8693475774287176</c:v>
                </c:pt>
                <c:pt idx="26">
                  <c:v>3.6675347200113713</c:v>
                </c:pt>
                <c:pt idx="27">
                  <c:v>3.4730260470989589</c:v>
                </c:pt>
                <c:pt idx="28">
                  <c:v>3.2879797461071445</c:v>
                </c:pt>
                <c:pt idx="29">
                  <c:v>1.9952172111690554</c:v>
                </c:pt>
                <c:pt idx="30">
                  <c:v>1.3561893622089956</c:v>
                </c:pt>
                <c:pt idx="31">
                  <c:v>1.0000000000000002</c:v>
                </c:pt>
                <c:pt idx="32">
                  <c:v>0.77790984158441401</c:v>
                </c:pt>
                <c:pt idx="33">
                  <c:v>0.6279504491291602</c:v>
                </c:pt>
                <c:pt idx="34">
                  <c:v>0.52074152231077753</c:v>
                </c:pt>
                <c:pt idx="35">
                  <c:v>0.44077248717709766</c:v>
                </c:pt>
                <c:pt idx="36">
                  <c:v>0.37914436461611012</c:v>
                </c:pt>
                <c:pt idx="37">
                  <c:v>0.33040930022754489</c:v>
                </c:pt>
                <c:pt idx="38">
                  <c:v>0.29105576223913171</c:v>
                </c:pt>
                <c:pt idx="39">
                  <c:v>0.25872376900338534</c:v>
                </c:pt>
                <c:pt idx="40">
                  <c:v>0.23177165090763927</c:v>
                </c:pt>
                <c:pt idx="41">
                  <c:v>0.20902396304462009</c:v>
                </c:pt>
                <c:pt idx="42">
                  <c:v>0.18961818525599089</c:v>
                </c:pt>
                <c:pt idx="43">
                  <c:v>0.17290793443610125</c:v>
                </c:pt>
                <c:pt idx="44">
                  <c:v>0.15839985489059297</c:v>
                </c:pt>
                <c:pt idx="45">
                  <c:v>0.14571130062584164</c:v>
                </c:pt>
                <c:pt idx="46">
                  <c:v>0.13454125558951022</c:v>
                </c:pt>
                <c:pt idx="47">
                  <c:v>0.12464991373605705</c:v>
                </c:pt>
                <c:pt idx="48">
                  <c:v>0.1158440616136763</c:v>
                </c:pt>
                <c:pt idx="49">
                  <c:v>0.10796643301249112</c:v>
                </c:pt>
                <c:pt idx="50">
                  <c:v>0.10088783534340115</c:v>
                </c:pt>
                <c:pt idx="51">
                  <c:v>9.4501243928060807E-2</c:v>
                </c:pt>
                <c:pt idx="52">
                  <c:v>8.8717315595880322E-2</c:v>
                </c:pt>
                <c:pt idx="53">
                  <c:v>8.3460940656172516E-2</c:v>
                </c:pt>
                <c:pt idx="54">
                  <c:v>7.8668564545953029E-2</c:v>
                </c:pt>
                <c:pt idx="55">
                  <c:v>7.4286086869275361E-2</c:v>
                </c:pt>
                <c:pt idx="56">
                  <c:v>7.0267198393060698E-2</c:v>
                </c:pt>
                <c:pt idx="57">
                  <c:v>6.657205364518845E-2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188-494B-A45A-06F502F27FFB}"/>
            </c:ext>
          </c:extLst>
        </c:ser>
        <c:ser>
          <c:idx val="2"/>
          <c:order val="2"/>
          <c:tx>
            <c:strRef>
              <c:f>'csillapitott gerjesztett rezgés'!$F$10</c:f>
              <c:strCache>
                <c:ptCount val="1"/>
                <c:pt idx="0">
                  <c:v>N02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'csillapitott gerjesztett rezgés'!$A$11:$A$68</c:f>
              <c:numCache>
                <c:formatCode>General</c:formatCode>
                <c:ptCount val="58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0.91</c:v>
                </c:pt>
                <c:pt idx="11">
                  <c:v>0.92</c:v>
                </c:pt>
                <c:pt idx="12">
                  <c:v>0.93</c:v>
                </c:pt>
                <c:pt idx="13">
                  <c:v>0.94</c:v>
                </c:pt>
                <c:pt idx="14">
                  <c:v>0.95</c:v>
                </c:pt>
                <c:pt idx="15">
                  <c:v>0.96</c:v>
                </c:pt>
                <c:pt idx="16">
                  <c:v>0.97</c:v>
                </c:pt>
                <c:pt idx="17">
                  <c:v>0.98</c:v>
                </c:pt>
                <c:pt idx="18">
                  <c:v>0.99</c:v>
                </c:pt>
                <c:pt idx="19">
                  <c:v>1.01</c:v>
                </c:pt>
                <c:pt idx="20">
                  <c:v>1.02</c:v>
                </c:pt>
                <c:pt idx="21">
                  <c:v>1.03</c:v>
                </c:pt>
                <c:pt idx="22">
                  <c:v>1.04</c:v>
                </c:pt>
                <c:pt idx="23">
                  <c:v>1.05</c:v>
                </c:pt>
                <c:pt idx="24">
                  <c:v>1.06</c:v>
                </c:pt>
                <c:pt idx="25">
                  <c:v>1.07</c:v>
                </c:pt>
                <c:pt idx="26">
                  <c:v>1.08</c:v>
                </c:pt>
                <c:pt idx="27">
                  <c:v>1.0900000000000001</c:v>
                </c:pt>
                <c:pt idx="28">
                  <c:v>1.1000000000000001</c:v>
                </c:pt>
                <c:pt idx="29">
                  <c:v>1.2</c:v>
                </c:pt>
                <c:pt idx="30">
                  <c:v>1.3</c:v>
                </c:pt>
                <c:pt idx="31">
                  <c:v>1.4</c:v>
                </c:pt>
                <c:pt idx="32">
                  <c:v>1.5</c:v>
                </c:pt>
                <c:pt idx="33">
                  <c:v>1.6</c:v>
                </c:pt>
                <c:pt idx="34">
                  <c:v>1.7</c:v>
                </c:pt>
                <c:pt idx="35">
                  <c:v>1.8</c:v>
                </c:pt>
                <c:pt idx="36">
                  <c:v>1.9</c:v>
                </c:pt>
                <c:pt idx="37">
                  <c:v>2</c:v>
                </c:pt>
                <c:pt idx="38">
                  <c:v>2.1</c:v>
                </c:pt>
                <c:pt idx="39">
                  <c:v>2.2000000000000002</c:v>
                </c:pt>
                <c:pt idx="40">
                  <c:v>2.2999999999999998</c:v>
                </c:pt>
                <c:pt idx="41">
                  <c:v>2.4</c:v>
                </c:pt>
                <c:pt idx="42">
                  <c:v>2.5</c:v>
                </c:pt>
                <c:pt idx="43">
                  <c:v>2.6</c:v>
                </c:pt>
                <c:pt idx="44">
                  <c:v>2.7</c:v>
                </c:pt>
                <c:pt idx="45">
                  <c:v>2.8</c:v>
                </c:pt>
                <c:pt idx="46">
                  <c:v>2.9</c:v>
                </c:pt>
                <c:pt idx="47">
                  <c:v>3</c:v>
                </c:pt>
                <c:pt idx="48">
                  <c:v>3.1</c:v>
                </c:pt>
                <c:pt idx="49">
                  <c:v>3.2</c:v>
                </c:pt>
                <c:pt idx="50">
                  <c:v>3.3</c:v>
                </c:pt>
                <c:pt idx="51">
                  <c:v>3.4</c:v>
                </c:pt>
                <c:pt idx="52">
                  <c:v>3.5</c:v>
                </c:pt>
                <c:pt idx="53">
                  <c:v>3.6</c:v>
                </c:pt>
                <c:pt idx="54">
                  <c:v>3.7</c:v>
                </c:pt>
                <c:pt idx="55">
                  <c:v>3.8</c:v>
                </c:pt>
                <c:pt idx="56">
                  <c:v>3.9</c:v>
                </c:pt>
                <c:pt idx="57">
                  <c:v>4</c:v>
                </c:pt>
              </c:numCache>
            </c:numRef>
          </c:xVal>
          <c:yVal>
            <c:numRef>
              <c:f>'csillapitott gerjesztett rezgés'!$F$11:$F$68</c:f>
              <c:numCache>
                <c:formatCode>General</c:formatCode>
                <c:ptCount val="58"/>
                <c:pt idx="0">
                  <c:v>1</c:v>
                </c:pt>
                <c:pt idx="1">
                  <c:v>1.0092775300822563</c:v>
                </c:pt>
                <c:pt idx="2">
                  <c:v>1.0380684981717496</c:v>
                </c:pt>
                <c:pt idx="3">
                  <c:v>1.0894694214056866</c:v>
                </c:pt>
                <c:pt idx="4">
                  <c:v>1.16945067431247</c:v>
                </c:pt>
                <c:pt idx="5">
                  <c:v>1.2883132528016616</c:v>
                </c:pt>
                <c:pt idx="6">
                  <c:v>1.463014339951632</c:v>
                </c:pt>
                <c:pt idx="7">
                  <c:v>1.7187814721168515</c:v>
                </c:pt>
                <c:pt idx="8">
                  <c:v>2.0761369963434992</c:v>
                </c:pt>
                <c:pt idx="9">
                  <c:v>2.4566243134638044</c:v>
                </c:pt>
                <c:pt idx="10">
                  <c:v>2.4841702989703358</c:v>
                </c:pt>
                <c:pt idx="11">
                  <c:v>2.5077155716134478</c:v>
                </c:pt>
                <c:pt idx="12">
                  <c:v>2.5267029889901225</c:v>
                </c:pt>
                <c:pt idx="13">
                  <c:v>2.5406176078277771</c:v>
                </c:pt>
                <c:pt idx="14">
                  <c:v>2.5490119515086644</c:v>
                </c:pt>
                <c:pt idx="15">
                  <c:v>2.5515305527331318</c:v>
                </c:pt>
                <c:pt idx="16">
                  <c:v>2.5479314644824322</c:v>
                </c:pt>
                <c:pt idx="17">
                  <c:v>2.5381024581080172</c:v>
                </c:pt>
                <c:pt idx="18">
                  <c:v>2.5220700209335978</c:v>
                </c:pt>
                <c:pt idx="19">
                  <c:v>2.4721896993976764</c:v>
                </c:pt>
                <c:pt idx="20">
                  <c:v>2.4390522487035202</c:v>
                </c:pt>
                <c:pt idx="21">
                  <c:v>2.4010949261139691</c:v>
                </c:pt>
                <c:pt idx="22">
                  <c:v>2.3588936866239898</c:v>
                </c:pt>
                <c:pt idx="23">
                  <c:v>2.31306633575428</c:v>
                </c:pt>
                <c:pt idx="24">
                  <c:v>2.2642466160840473</c:v>
                </c:pt>
                <c:pt idx="25">
                  <c:v>2.2130610244569535</c:v>
                </c:pt>
                <c:pt idx="26">
                  <c:v>2.1601095784678561</c:v>
                </c:pt>
                <c:pt idx="27">
                  <c:v>2.1059511287427357</c:v>
                </c:pt>
                <c:pt idx="28">
                  <c:v>2.051093267690181</c:v>
                </c:pt>
                <c:pt idx="29">
                  <c:v>1.5357377920848778</c:v>
                </c:pt>
                <c:pt idx="30">
                  <c:v>1.1574043065126773</c:v>
                </c:pt>
                <c:pt idx="31">
                  <c:v>0.89976968843586835</c:v>
                </c:pt>
                <c:pt idx="32">
                  <c:v>0.72121844597461882</c:v>
                </c:pt>
                <c:pt idx="33">
                  <c:v>0.59305680665047789</c:v>
                </c:pt>
                <c:pt idx="34">
                  <c:v>0.49785759873996666</c:v>
                </c:pt>
                <c:pt idx="35">
                  <c:v>0.42501275057377869</c:v>
                </c:pt>
                <c:pt idx="36">
                  <c:v>0.36786341324568933</c:v>
                </c:pt>
                <c:pt idx="37">
                  <c:v>0.32207831320041541</c:v>
                </c:pt>
                <c:pt idx="38">
                  <c:v>0.28474316608852313</c:v>
                </c:pt>
                <c:pt idx="39">
                  <c:v>0.25383654128340472</c:v>
                </c:pt>
                <c:pt idx="40">
                  <c:v>0.22791819296196433</c:v>
                </c:pt>
                <c:pt idx="41">
                  <c:v>0.20593751452824863</c:v>
                </c:pt>
                <c:pt idx="42">
                  <c:v>0.18711210788999519</c:v>
                </c:pt>
                <c:pt idx="43">
                  <c:v>0.17084858699645381</c:v>
                </c:pt>
                <c:pt idx="44">
                  <c:v>0.15668958462969804</c:v>
                </c:pt>
                <c:pt idx="45">
                  <c:v>0.14427746420619034</c:v>
                </c:pt>
                <c:pt idx="46">
                  <c:v>0.13332894836447209</c:v>
                </c:pt>
                <c:pt idx="47">
                  <c:v>0.12361704410853719</c:v>
                </c:pt>
                <c:pt idx="48">
                  <c:v>0.11495794558585622</c:v>
                </c:pt>
                <c:pt idx="49">
                  <c:v>0.10720139633729754</c:v>
                </c:pt>
                <c:pt idx="50">
                  <c:v>0.10022349703732972</c:v>
                </c:pt>
                <c:pt idx="51">
                  <c:v>9.3921268969610755E-2</c:v>
                </c:pt>
                <c:pt idx="52">
                  <c:v>8.8208496082561511E-2</c:v>
                </c:pt>
                <c:pt idx="53">
                  <c:v>8.3012510396726108E-2</c:v>
                </c:pt>
                <c:pt idx="54">
                  <c:v>7.8271681865498266E-2</c:v>
                </c:pt>
                <c:pt idx="55">
                  <c:v>7.3933440181361124E-2</c:v>
                </c:pt>
                <c:pt idx="56">
                  <c:v>6.9952702430225527E-2</c:v>
                </c:pt>
                <c:pt idx="57">
                  <c:v>6.6290613370128593E-2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188-494B-A45A-06F502F27FFB}"/>
            </c:ext>
          </c:extLst>
        </c:ser>
        <c:ser>
          <c:idx val="3"/>
          <c:order val="3"/>
          <c:tx>
            <c:strRef>
              <c:f>'csillapitott gerjesztett rezgés'!$G$10</c:f>
              <c:strCache>
                <c:ptCount val="1"/>
                <c:pt idx="0">
                  <c:v>N05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'csillapitott gerjesztett rezgés'!$A$11:$A$68</c:f>
              <c:numCache>
                <c:formatCode>General</c:formatCode>
                <c:ptCount val="58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0.91</c:v>
                </c:pt>
                <c:pt idx="11">
                  <c:v>0.92</c:v>
                </c:pt>
                <c:pt idx="12">
                  <c:v>0.93</c:v>
                </c:pt>
                <c:pt idx="13">
                  <c:v>0.94</c:v>
                </c:pt>
                <c:pt idx="14">
                  <c:v>0.95</c:v>
                </c:pt>
                <c:pt idx="15">
                  <c:v>0.96</c:v>
                </c:pt>
                <c:pt idx="16">
                  <c:v>0.97</c:v>
                </c:pt>
                <c:pt idx="17">
                  <c:v>0.98</c:v>
                </c:pt>
                <c:pt idx="18">
                  <c:v>0.99</c:v>
                </c:pt>
                <c:pt idx="19">
                  <c:v>1.01</c:v>
                </c:pt>
                <c:pt idx="20">
                  <c:v>1.02</c:v>
                </c:pt>
                <c:pt idx="21">
                  <c:v>1.03</c:v>
                </c:pt>
                <c:pt idx="22">
                  <c:v>1.04</c:v>
                </c:pt>
                <c:pt idx="23">
                  <c:v>1.05</c:v>
                </c:pt>
                <c:pt idx="24">
                  <c:v>1.06</c:v>
                </c:pt>
                <c:pt idx="25">
                  <c:v>1.07</c:v>
                </c:pt>
                <c:pt idx="26">
                  <c:v>1.08</c:v>
                </c:pt>
                <c:pt idx="27">
                  <c:v>1.0900000000000001</c:v>
                </c:pt>
                <c:pt idx="28">
                  <c:v>1.1000000000000001</c:v>
                </c:pt>
                <c:pt idx="29">
                  <c:v>1.2</c:v>
                </c:pt>
                <c:pt idx="30">
                  <c:v>1.3</c:v>
                </c:pt>
                <c:pt idx="31">
                  <c:v>1.4</c:v>
                </c:pt>
                <c:pt idx="32">
                  <c:v>1.5</c:v>
                </c:pt>
                <c:pt idx="33">
                  <c:v>1.6</c:v>
                </c:pt>
                <c:pt idx="34">
                  <c:v>1.7</c:v>
                </c:pt>
                <c:pt idx="35">
                  <c:v>1.8</c:v>
                </c:pt>
                <c:pt idx="36">
                  <c:v>1.9</c:v>
                </c:pt>
                <c:pt idx="37">
                  <c:v>2</c:v>
                </c:pt>
                <c:pt idx="38">
                  <c:v>2.1</c:v>
                </c:pt>
                <c:pt idx="39">
                  <c:v>2.2000000000000002</c:v>
                </c:pt>
                <c:pt idx="40">
                  <c:v>2.2999999999999998</c:v>
                </c:pt>
                <c:pt idx="41">
                  <c:v>2.4</c:v>
                </c:pt>
                <c:pt idx="42">
                  <c:v>2.5</c:v>
                </c:pt>
                <c:pt idx="43">
                  <c:v>2.6</c:v>
                </c:pt>
                <c:pt idx="44">
                  <c:v>2.7</c:v>
                </c:pt>
                <c:pt idx="45">
                  <c:v>2.8</c:v>
                </c:pt>
                <c:pt idx="46">
                  <c:v>2.9</c:v>
                </c:pt>
                <c:pt idx="47">
                  <c:v>3</c:v>
                </c:pt>
                <c:pt idx="48">
                  <c:v>3.1</c:v>
                </c:pt>
                <c:pt idx="49">
                  <c:v>3.2</c:v>
                </c:pt>
                <c:pt idx="50">
                  <c:v>3.3</c:v>
                </c:pt>
                <c:pt idx="51">
                  <c:v>3.4</c:v>
                </c:pt>
                <c:pt idx="52">
                  <c:v>3.5</c:v>
                </c:pt>
                <c:pt idx="53">
                  <c:v>3.6</c:v>
                </c:pt>
                <c:pt idx="54">
                  <c:v>3.7</c:v>
                </c:pt>
                <c:pt idx="55">
                  <c:v>3.8</c:v>
                </c:pt>
                <c:pt idx="56">
                  <c:v>3.9</c:v>
                </c:pt>
                <c:pt idx="57">
                  <c:v>4</c:v>
                </c:pt>
              </c:numCache>
            </c:numRef>
          </c:xVal>
          <c:yVal>
            <c:numRef>
              <c:f>'csillapitott gerjesztett rezgés'!$G$11:$G$68</c:f>
              <c:numCache>
                <c:formatCode>General</c:formatCode>
                <c:ptCount val="58"/>
                <c:pt idx="0">
                  <c:v>1</c:v>
                </c:pt>
                <c:pt idx="1">
                  <c:v>1.004987059618685</c:v>
                </c:pt>
                <c:pt idx="2">
                  <c:v>1.0197712705600053</c:v>
                </c:pt>
                <c:pt idx="3">
                  <c:v>1.0436503096577461</c:v>
                </c:pt>
                <c:pt idx="4">
                  <c:v>1.0748339509808695</c:v>
                </c:pt>
                <c:pt idx="5">
                  <c:v>1.1094003924504583</c:v>
                </c:pt>
                <c:pt idx="6">
                  <c:v>1.139901881468883</c:v>
                </c:pt>
                <c:pt idx="7">
                  <c:v>1.154623566040508</c:v>
                </c:pt>
                <c:pt idx="8">
                  <c:v>1.139901881468883</c:v>
                </c:pt>
                <c:pt idx="9">
                  <c:v>1.0871492046706062</c:v>
                </c:pt>
                <c:pt idx="10">
                  <c:v>1.0798043004487976</c:v>
                </c:pt>
                <c:pt idx="11">
                  <c:v>1.0721168726067902</c:v>
                </c:pt>
                <c:pt idx="12">
                  <c:v>1.064099573566327</c:v>
                </c:pt>
                <c:pt idx="13">
                  <c:v>1.0557661195182084</c:v>
                </c:pt>
                <c:pt idx="14">
                  <c:v>1.0471311827036469</c:v>
                </c:pt>
                <c:pt idx="15">
                  <c:v>1.0382102772558768</c:v>
                </c:pt>
                <c:pt idx="16">
                  <c:v>1.0290196403993601</c:v>
                </c:pt>
                <c:pt idx="17">
                  <c:v>1.0195761108161459</c:v>
                </c:pt>
                <c:pt idx="18">
                  <c:v>1.0098970059567556</c:v>
                </c:pt>
                <c:pt idx="19">
                  <c:v>0.9899030040572353</c:v>
                </c:pt>
                <c:pt idx="20">
                  <c:v>0.97962405007754749</c:v>
                </c:pt>
                <c:pt idx="21">
                  <c:v>0.96918117974764695</c:v>
                </c:pt>
                <c:pt idx="22">
                  <c:v>0.95859233950056</c:v>
                </c:pt>
                <c:pt idx="23">
                  <c:v>0.94787528255717446</c:v>
                </c:pt>
                <c:pt idx="24">
                  <c:v>0.93704747873069716</c:v>
                </c:pt>
                <c:pt idx="25">
                  <c:v>0.92612603253191361</c:v>
                </c:pt>
                <c:pt idx="26">
                  <c:v>0.91512760992788</c:v>
                </c:pt>
                <c:pt idx="27">
                  <c:v>0.90406837393261164</c:v>
                </c:pt>
                <c:pt idx="28">
                  <c:v>0.89296392904878863</c:v>
                </c:pt>
                <c:pt idx="29">
                  <c:v>0.78239692990550724</c:v>
                </c:pt>
                <c:pt idx="30">
                  <c:v>0.67945507811496642</c:v>
                </c:pt>
                <c:pt idx="31">
                  <c:v>0.58909203703284141</c:v>
                </c:pt>
                <c:pt idx="32">
                  <c:v>0.5121475197315839</c:v>
                </c:pt>
                <c:pt idx="33">
                  <c:v>0.44750008726252544</c:v>
                </c:pt>
                <c:pt idx="34">
                  <c:v>0.39338080327355524</c:v>
                </c:pt>
                <c:pt idx="35">
                  <c:v>0.34799506017558246</c:v>
                </c:pt>
                <c:pt idx="36">
                  <c:v>0.30975789336960163</c:v>
                </c:pt>
                <c:pt idx="37">
                  <c:v>0.27735009811261457</c:v>
                </c:pt>
                <c:pt idx="38">
                  <c:v>0.2497028742927675</c:v>
                </c:pt>
                <c:pt idx="39">
                  <c:v>0.22595999669093333</c:v>
                </c:pt>
                <c:pt idx="40">
                  <c:v>0.20543758044050478</c:v>
                </c:pt>
                <c:pt idx="41">
                  <c:v>0.1875885392366094</c:v>
                </c:pt>
                <c:pt idx="42">
                  <c:v>0.17197343215693911</c:v>
                </c:pt>
                <c:pt idx="43">
                  <c:v>0.15823735631973473</c:v>
                </c:pt>
                <c:pt idx="44">
                  <c:v>0.14609192105811938</c:v>
                </c:pt>
                <c:pt idx="45">
                  <c:v>0.13530127522702307</c:v>
                </c:pt>
                <c:pt idx="46">
                  <c:v>0.12567128702225816</c:v>
                </c:pt>
                <c:pt idx="47">
                  <c:v>0.11704114719613057</c:v>
                </c:pt>
                <c:pt idx="48">
                  <c:v>0.10927682701501859</c:v>
                </c:pt>
                <c:pt idx="49">
                  <c:v>0.1022659555467728</c:v>
                </c:pt>
                <c:pt idx="50">
                  <c:v>9.5913785705557544E-2</c:v>
                </c:pt>
                <c:pt idx="51">
                  <c:v>9.0139998784797462E-2</c:v>
                </c:pt>
                <c:pt idx="52">
                  <c:v>8.4876157896069726E-2</c:v>
                </c:pt>
                <c:pt idx="53">
                  <c:v>8.0063666320692117E-2</c:v>
                </c:pt>
                <c:pt idx="54">
                  <c:v>7.5652120973738468E-2</c:v>
                </c:pt>
                <c:pt idx="55">
                  <c:v>7.1597976855340043E-2</c:v>
                </c:pt>
                <c:pt idx="56">
                  <c:v>6.7863457698533622E-2</c:v>
                </c:pt>
                <c:pt idx="57">
                  <c:v>6.4415662640083082E-2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188-494B-A45A-06F502F27FFB}"/>
            </c:ext>
          </c:extLst>
        </c:ser>
        <c:ser>
          <c:idx val="4"/>
          <c:order val="4"/>
          <c:tx>
            <c:strRef>
              <c:f>'csillapitott gerjesztett rezgés'!$H$10</c:f>
              <c:strCache>
                <c:ptCount val="1"/>
                <c:pt idx="0">
                  <c:v>N07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'csillapitott gerjesztett rezgés'!$A$11:$A$68</c:f>
              <c:numCache>
                <c:formatCode>General</c:formatCode>
                <c:ptCount val="58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0.91</c:v>
                </c:pt>
                <c:pt idx="11">
                  <c:v>0.92</c:v>
                </c:pt>
                <c:pt idx="12">
                  <c:v>0.93</c:v>
                </c:pt>
                <c:pt idx="13">
                  <c:v>0.94</c:v>
                </c:pt>
                <c:pt idx="14">
                  <c:v>0.95</c:v>
                </c:pt>
                <c:pt idx="15">
                  <c:v>0.96</c:v>
                </c:pt>
                <c:pt idx="16">
                  <c:v>0.97</c:v>
                </c:pt>
                <c:pt idx="17">
                  <c:v>0.98</c:v>
                </c:pt>
                <c:pt idx="18">
                  <c:v>0.99</c:v>
                </c:pt>
                <c:pt idx="19">
                  <c:v>1.01</c:v>
                </c:pt>
                <c:pt idx="20">
                  <c:v>1.02</c:v>
                </c:pt>
                <c:pt idx="21">
                  <c:v>1.03</c:v>
                </c:pt>
                <c:pt idx="22">
                  <c:v>1.04</c:v>
                </c:pt>
                <c:pt idx="23">
                  <c:v>1.05</c:v>
                </c:pt>
                <c:pt idx="24">
                  <c:v>1.06</c:v>
                </c:pt>
                <c:pt idx="25">
                  <c:v>1.07</c:v>
                </c:pt>
                <c:pt idx="26">
                  <c:v>1.08</c:v>
                </c:pt>
                <c:pt idx="27">
                  <c:v>1.0900000000000001</c:v>
                </c:pt>
                <c:pt idx="28">
                  <c:v>1.1000000000000001</c:v>
                </c:pt>
                <c:pt idx="29">
                  <c:v>1.2</c:v>
                </c:pt>
                <c:pt idx="30">
                  <c:v>1.3</c:v>
                </c:pt>
                <c:pt idx="31">
                  <c:v>1.4</c:v>
                </c:pt>
                <c:pt idx="32">
                  <c:v>1.5</c:v>
                </c:pt>
                <c:pt idx="33">
                  <c:v>1.6</c:v>
                </c:pt>
                <c:pt idx="34">
                  <c:v>1.7</c:v>
                </c:pt>
                <c:pt idx="35">
                  <c:v>1.8</c:v>
                </c:pt>
                <c:pt idx="36">
                  <c:v>1.9</c:v>
                </c:pt>
                <c:pt idx="37">
                  <c:v>2</c:v>
                </c:pt>
                <c:pt idx="38">
                  <c:v>2.1</c:v>
                </c:pt>
                <c:pt idx="39">
                  <c:v>2.2000000000000002</c:v>
                </c:pt>
                <c:pt idx="40">
                  <c:v>2.2999999999999998</c:v>
                </c:pt>
                <c:pt idx="41">
                  <c:v>2.4</c:v>
                </c:pt>
                <c:pt idx="42">
                  <c:v>2.5</c:v>
                </c:pt>
                <c:pt idx="43">
                  <c:v>2.6</c:v>
                </c:pt>
                <c:pt idx="44">
                  <c:v>2.7</c:v>
                </c:pt>
                <c:pt idx="45">
                  <c:v>2.8</c:v>
                </c:pt>
                <c:pt idx="46">
                  <c:v>2.9</c:v>
                </c:pt>
                <c:pt idx="47">
                  <c:v>3</c:v>
                </c:pt>
                <c:pt idx="48">
                  <c:v>3.1</c:v>
                </c:pt>
                <c:pt idx="49">
                  <c:v>3.2</c:v>
                </c:pt>
                <c:pt idx="50">
                  <c:v>3.3</c:v>
                </c:pt>
                <c:pt idx="51">
                  <c:v>3.4</c:v>
                </c:pt>
                <c:pt idx="52">
                  <c:v>3.5</c:v>
                </c:pt>
                <c:pt idx="53">
                  <c:v>3.6</c:v>
                </c:pt>
                <c:pt idx="54">
                  <c:v>3.7</c:v>
                </c:pt>
                <c:pt idx="55">
                  <c:v>3.8</c:v>
                </c:pt>
                <c:pt idx="56">
                  <c:v>3.9</c:v>
                </c:pt>
                <c:pt idx="57">
                  <c:v>4</c:v>
                </c:pt>
              </c:numCache>
            </c:numRef>
          </c:xVal>
          <c:yVal>
            <c:numRef>
              <c:f>'csillapitott gerjesztett rezgés'!$H$11:$H$68</c:f>
              <c:numCache>
                <c:formatCode>General</c:formatCode>
                <c:ptCount val="58"/>
                <c:pt idx="0">
                  <c:v>1</c:v>
                </c:pt>
                <c:pt idx="1">
                  <c:v>1.0001500337584397</c:v>
                </c:pt>
                <c:pt idx="2">
                  <c:v>1</c:v>
                </c:pt>
                <c:pt idx="3">
                  <c:v>0.99775756538511184</c:v>
                </c:pt>
                <c:pt idx="4">
                  <c:v>0.99053606468790911</c:v>
                </c:pt>
                <c:pt idx="5">
                  <c:v>0.97474035765715861</c:v>
                </c:pt>
                <c:pt idx="6">
                  <c:v>0.94694252384821276</c:v>
                </c:pt>
                <c:pt idx="7">
                  <c:v>0.90517199336179832</c:v>
                </c:pt>
                <c:pt idx="8">
                  <c:v>0.85002550114755737</c:v>
                </c:pt>
                <c:pt idx="9">
                  <c:v>0.78477851476604921</c:v>
                </c:pt>
                <c:pt idx="10">
                  <c:v>0.77788027798834392</c:v>
                </c:pt>
                <c:pt idx="11">
                  <c:v>0.77093487685527551</c:v>
                </c:pt>
                <c:pt idx="12">
                  <c:v>0.76394751127030724</c:v>
                </c:pt>
                <c:pt idx="13">
                  <c:v>0.75692334006600803</c:v>
                </c:pt>
                <c:pt idx="14">
                  <c:v>0.74986746677901339</c:v>
                </c:pt>
                <c:pt idx="15">
                  <c:v>0.74278492628069748</c:v>
                </c:pt>
                <c:pt idx="16">
                  <c:v>0.73568067230722656</c:v>
                </c:pt>
                <c:pt idx="17">
                  <c:v>0.72855956592214888</c:v>
                </c:pt>
                <c:pt idx="18">
                  <c:v>0.72142636493450152</c:v>
                </c:pt>
                <c:pt idx="19">
                  <c:v>0.70714213740944609</c:v>
                </c:pt>
                <c:pt idx="20">
                  <c:v>0.70000002856000176</c:v>
                </c:pt>
                <c:pt idx="21">
                  <c:v>0.6928636460971842</c:v>
                </c:pt>
                <c:pt idx="22">
                  <c:v>0.68573710670840737</c:v>
                </c:pt>
                <c:pt idx="23">
                  <c:v>0.67862438054263696</c:v>
                </c:pt>
                <c:pt idx="24">
                  <c:v>0.67152928722525917</c:v>
                </c:pt>
                <c:pt idx="25">
                  <c:v>0.66445549271830628</c:v>
                </c:pt>
                <c:pt idx="26">
                  <c:v>0.65740650698655756</c:v>
                </c:pt>
                <c:pt idx="27">
                  <c:v>0.65038568242688644</c:v>
                </c:pt>
                <c:pt idx="28">
                  <c:v>0.64339621301577854</c:v>
                </c:pt>
                <c:pt idx="29">
                  <c:v>0.57581679963109844</c:v>
                </c:pt>
                <c:pt idx="30">
                  <c:v>0.51376717596531962</c:v>
                </c:pt>
                <c:pt idx="31">
                  <c:v>0.45819525917714959</c:v>
                </c:pt>
                <c:pt idx="32">
                  <c:v>0.40918708781414609</c:v>
                </c:pt>
                <c:pt idx="33">
                  <c:v>0.36634214984588392</c:v>
                </c:pt>
                <c:pt idx="34">
                  <c:v>0.32903817121777057</c:v>
                </c:pt>
                <c:pt idx="35">
                  <c:v>0.29659099947764278</c:v>
                </c:pt>
                <c:pt idx="36">
                  <c:v>0.26833964248246117</c:v>
                </c:pt>
                <c:pt idx="37">
                  <c:v>0.24368508941428965</c:v>
                </c:pt>
                <c:pt idx="38">
                  <c:v>0.22210325061624492</c:v>
                </c:pt>
                <c:pt idx="39">
                  <c:v>0.20314464090988488</c:v>
                </c:pt>
                <c:pt idx="40">
                  <c:v>0.18642802581826623</c:v>
                </c:pt>
                <c:pt idx="41">
                  <c:v>0.17163190404721887</c:v>
                </c:pt>
                <c:pt idx="42">
                  <c:v>0.15848577035006547</c:v>
                </c:pt>
                <c:pt idx="43">
                  <c:v>0.14676204471958204</c:v>
                </c:pt>
                <c:pt idx="44">
                  <c:v>0.13626899887300412</c:v>
                </c:pt>
                <c:pt idx="45">
                  <c:v>0.12684473508747016</c:v>
                </c:pt>
                <c:pt idx="46">
                  <c:v>0.11835214629401877</c:v>
                </c:pt>
                <c:pt idx="47">
                  <c:v>0.11067473785474294</c:v>
                </c:pt>
                <c:pt idx="48">
                  <c:v>0.10371318144443636</c:v>
                </c:pt>
                <c:pt idx="49">
                  <c:v>9.7382479133787808E-2</c:v>
                </c:pt>
                <c:pt idx="50">
                  <c:v>9.1609630389615393E-2</c:v>
                </c:pt>
                <c:pt idx="51">
                  <c:v>8.6331710949347953E-2</c:v>
                </c:pt>
                <c:pt idx="52">
                  <c:v>8.1494287934472054E-2</c:v>
                </c:pt>
                <c:pt idx="53">
                  <c:v>7.7050109158970259E-2</c:v>
                </c:pt>
                <c:pt idx="54">
                  <c:v>7.2958016114310506E-2</c:v>
                </c:pt>
                <c:pt idx="55">
                  <c:v>6.9182039663041039E-2</c:v>
                </c:pt>
                <c:pt idx="56">
                  <c:v>6.5690645277228663E-2</c:v>
                </c:pt>
                <c:pt idx="57">
                  <c:v>6.2456100981823796E-2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C188-494B-A45A-06F502F27FFB}"/>
            </c:ext>
          </c:extLst>
        </c:ser>
        <c:ser>
          <c:idx val="5"/>
          <c:order val="5"/>
          <c:tx>
            <c:strRef>
              <c:f>'csillapitott gerjesztett rezgés'!$I$10</c:f>
              <c:strCache>
                <c:ptCount val="1"/>
                <c:pt idx="0">
                  <c:v>N1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'csillapitott gerjesztett rezgés'!$A$11:$A$68</c:f>
              <c:numCache>
                <c:formatCode>General</c:formatCode>
                <c:ptCount val="58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0.91</c:v>
                </c:pt>
                <c:pt idx="11">
                  <c:v>0.92</c:v>
                </c:pt>
                <c:pt idx="12">
                  <c:v>0.93</c:v>
                </c:pt>
                <c:pt idx="13">
                  <c:v>0.94</c:v>
                </c:pt>
                <c:pt idx="14">
                  <c:v>0.95</c:v>
                </c:pt>
                <c:pt idx="15">
                  <c:v>0.96</c:v>
                </c:pt>
                <c:pt idx="16">
                  <c:v>0.97</c:v>
                </c:pt>
                <c:pt idx="17">
                  <c:v>0.98</c:v>
                </c:pt>
                <c:pt idx="18">
                  <c:v>0.99</c:v>
                </c:pt>
                <c:pt idx="19">
                  <c:v>1.01</c:v>
                </c:pt>
                <c:pt idx="20">
                  <c:v>1.02</c:v>
                </c:pt>
                <c:pt idx="21">
                  <c:v>1.03</c:v>
                </c:pt>
                <c:pt idx="22">
                  <c:v>1.04</c:v>
                </c:pt>
                <c:pt idx="23">
                  <c:v>1.05</c:v>
                </c:pt>
                <c:pt idx="24">
                  <c:v>1.06</c:v>
                </c:pt>
                <c:pt idx="25">
                  <c:v>1.07</c:v>
                </c:pt>
                <c:pt idx="26">
                  <c:v>1.08</c:v>
                </c:pt>
                <c:pt idx="27">
                  <c:v>1.0900000000000001</c:v>
                </c:pt>
                <c:pt idx="28">
                  <c:v>1.1000000000000001</c:v>
                </c:pt>
                <c:pt idx="29">
                  <c:v>1.2</c:v>
                </c:pt>
                <c:pt idx="30">
                  <c:v>1.3</c:v>
                </c:pt>
                <c:pt idx="31">
                  <c:v>1.4</c:v>
                </c:pt>
                <c:pt idx="32">
                  <c:v>1.5</c:v>
                </c:pt>
                <c:pt idx="33">
                  <c:v>1.6</c:v>
                </c:pt>
                <c:pt idx="34">
                  <c:v>1.7</c:v>
                </c:pt>
                <c:pt idx="35">
                  <c:v>1.8</c:v>
                </c:pt>
                <c:pt idx="36">
                  <c:v>1.9</c:v>
                </c:pt>
                <c:pt idx="37">
                  <c:v>2</c:v>
                </c:pt>
                <c:pt idx="38">
                  <c:v>2.1</c:v>
                </c:pt>
                <c:pt idx="39">
                  <c:v>2.2000000000000002</c:v>
                </c:pt>
                <c:pt idx="40">
                  <c:v>2.2999999999999998</c:v>
                </c:pt>
                <c:pt idx="41">
                  <c:v>2.4</c:v>
                </c:pt>
                <c:pt idx="42">
                  <c:v>2.5</c:v>
                </c:pt>
                <c:pt idx="43">
                  <c:v>2.6</c:v>
                </c:pt>
                <c:pt idx="44">
                  <c:v>2.7</c:v>
                </c:pt>
                <c:pt idx="45">
                  <c:v>2.8</c:v>
                </c:pt>
                <c:pt idx="46">
                  <c:v>2.9</c:v>
                </c:pt>
                <c:pt idx="47">
                  <c:v>3</c:v>
                </c:pt>
                <c:pt idx="48">
                  <c:v>3.1</c:v>
                </c:pt>
                <c:pt idx="49">
                  <c:v>3.2</c:v>
                </c:pt>
                <c:pt idx="50">
                  <c:v>3.3</c:v>
                </c:pt>
                <c:pt idx="51">
                  <c:v>3.4</c:v>
                </c:pt>
                <c:pt idx="52">
                  <c:v>3.5</c:v>
                </c:pt>
                <c:pt idx="53">
                  <c:v>3.6</c:v>
                </c:pt>
                <c:pt idx="54">
                  <c:v>3.7</c:v>
                </c:pt>
                <c:pt idx="55">
                  <c:v>3.8</c:v>
                </c:pt>
                <c:pt idx="56">
                  <c:v>3.9</c:v>
                </c:pt>
                <c:pt idx="57">
                  <c:v>4</c:v>
                </c:pt>
              </c:numCache>
            </c:numRef>
          </c:xVal>
          <c:yVal>
            <c:numRef>
              <c:f>'csillapitott gerjesztett rezgés'!$I$11:$I$68</c:f>
              <c:numCache>
                <c:formatCode>General</c:formatCode>
                <c:ptCount val="58"/>
                <c:pt idx="0">
                  <c:v>1</c:v>
                </c:pt>
                <c:pt idx="1">
                  <c:v>0.99009900990099009</c:v>
                </c:pt>
                <c:pt idx="2">
                  <c:v>0.96153846153846145</c:v>
                </c:pt>
                <c:pt idx="3">
                  <c:v>0.9174311926605504</c:v>
                </c:pt>
                <c:pt idx="4">
                  <c:v>0.86206896551724133</c:v>
                </c:pt>
                <c:pt idx="5">
                  <c:v>0.8</c:v>
                </c:pt>
                <c:pt idx="6">
                  <c:v>0.73529411764705888</c:v>
                </c:pt>
                <c:pt idx="7">
                  <c:v>0.67114093959731558</c:v>
                </c:pt>
                <c:pt idx="8">
                  <c:v>0.6097560975609756</c:v>
                </c:pt>
                <c:pt idx="9">
                  <c:v>0.5524861878453039</c:v>
                </c:pt>
                <c:pt idx="10">
                  <c:v>0.54701602756960777</c:v>
                </c:pt>
                <c:pt idx="11">
                  <c:v>0.54159445407279028</c:v>
                </c:pt>
                <c:pt idx="12">
                  <c:v>0.53622178132875753</c:v>
                </c:pt>
                <c:pt idx="13">
                  <c:v>0.53089827988957317</c:v>
                </c:pt>
                <c:pt idx="14">
                  <c:v>0.52562417871222078</c:v>
                </c:pt>
                <c:pt idx="15">
                  <c:v>0.52039966694421314</c:v>
                </c:pt>
                <c:pt idx="16">
                  <c:v>0.51522489566695862</c:v>
                </c:pt>
                <c:pt idx="17">
                  <c:v>0.51009997959600084</c:v>
                </c:pt>
                <c:pt idx="18">
                  <c:v>0.50502499873743756</c:v>
                </c:pt>
                <c:pt idx="19">
                  <c:v>0.49502499876243755</c:v>
                </c:pt>
                <c:pt idx="20">
                  <c:v>0.49009998039600078</c:v>
                </c:pt>
                <c:pt idx="21">
                  <c:v>0.48522490174195737</c:v>
                </c:pt>
                <c:pt idx="22">
                  <c:v>0.48039969254419679</c:v>
                </c:pt>
                <c:pt idx="23">
                  <c:v>0.47562425683709869</c:v>
                </c:pt>
                <c:pt idx="24">
                  <c:v>0.47089847428894327</c:v>
                </c:pt>
                <c:pt idx="25">
                  <c:v>0.46622220150123544</c:v>
                </c:pt>
                <c:pt idx="26">
                  <c:v>0.46159527326440181</c:v>
                </c:pt>
                <c:pt idx="27">
                  <c:v>0.45701750377039441</c:v>
                </c:pt>
                <c:pt idx="28">
                  <c:v>0.45248868778280532</c:v>
                </c:pt>
                <c:pt idx="29">
                  <c:v>0.4098360655737705</c:v>
                </c:pt>
                <c:pt idx="30">
                  <c:v>0.3717472118959107</c:v>
                </c:pt>
                <c:pt idx="31">
                  <c:v>0.33783783783783788</c:v>
                </c:pt>
                <c:pt idx="32">
                  <c:v>0.30769230769230771</c:v>
                </c:pt>
                <c:pt idx="33">
                  <c:v>0.28089887640449435</c:v>
                </c:pt>
                <c:pt idx="34">
                  <c:v>0.25706940874035994</c:v>
                </c:pt>
                <c:pt idx="35">
                  <c:v>0.23584905660377356</c:v>
                </c:pt>
                <c:pt idx="36">
                  <c:v>0.2169197396963124</c:v>
                </c:pt>
                <c:pt idx="37">
                  <c:v>0.2</c:v>
                </c:pt>
                <c:pt idx="38">
                  <c:v>0.18484288354898337</c:v>
                </c:pt>
                <c:pt idx="39">
                  <c:v>0.17123287671232876</c:v>
                </c:pt>
                <c:pt idx="40">
                  <c:v>0.15898251192368842</c:v>
                </c:pt>
                <c:pt idx="41">
                  <c:v>0.14792899408284024</c:v>
                </c:pt>
                <c:pt idx="42">
                  <c:v>0.13793103448275862</c:v>
                </c:pt>
                <c:pt idx="43">
                  <c:v>0.12886597938144329</c:v>
                </c:pt>
                <c:pt idx="44">
                  <c:v>0.12062726176115801</c:v>
                </c:pt>
                <c:pt idx="45">
                  <c:v>0.11312217194570136</c:v>
                </c:pt>
                <c:pt idx="46">
                  <c:v>0.10626992561105207</c:v>
                </c:pt>
                <c:pt idx="47">
                  <c:v>0.1</c:v>
                </c:pt>
                <c:pt idx="48">
                  <c:v>9.4250706880301585E-2</c:v>
                </c:pt>
                <c:pt idx="49">
                  <c:v>8.8967971530249101E-2</c:v>
                </c:pt>
                <c:pt idx="50">
                  <c:v>8.4104289318755271E-2</c:v>
                </c:pt>
                <c:pt idx="51">
                  <c:v>7.9617834394904469E-2</c:v>
                </c:pt>
                <c:pt idx="52">
                  <c:v>7.5471698113207544E-2</c:v>
                </c:pt>
                <c:pt idx="53">
                  <c:v>7.1633237822349566E-2</c:v>
                </c:pt>
                <c:pt idx="54">
                  <c:v>6.807351940095302E-2</c:v>
                </c:pt>
                <c:pt idx="55">
                  <c:v>6.476683937823835E-2</c:v>
                </c:pt>
                <c:pt idx="56">
                  <c:v>6.1690314620604564E-2</c:v>
                </c:pt>
                <c:pt idx="57">
                  <c:v>5.8823529411764705E-2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C188-494B-A45A-06F502F27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1019536"/>
        <c:axId val="1"/>
      </c:scatterChart>
      <c:valAx>
        <c:axId val="291019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u-HU"/>
                  <a:t>omega/alfa</a:t>
                </a:r>
              </a:p>
            </c:rich>
          </c:tx>
          <c:layout>
            <c:manualLayout>
              <c:xMode val="edge"/>
              <c:yMode val="edge"/>
              <c:x val="0.40084476782174377"/>
              <c:y val="0.873755547998360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u-HU"/>
                  <a:t>nagyitas</a:t>
                </a:r>
              </a:p>
            </c:rich>
          </c:tx>
          <c:layout>
            <c:manualLayout>
              <c:xMode val="edge"/>
              <c:yMode val="edge"/>
              <c:x val="3.3755274261603373E-2"/>
              <c:y val="0.335548870344695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291019536"/>
        <c:crosses val="autoZero"/>
        <c:crossBetween val="midCat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5865156095994322"/>
          <c:y val="0.21926945178364332"/>
          <c:w val="0.12447279533096334"/>
          <c:h val="0.421927607886223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00875611640485"/>
          <c:y val="8.6378877665070963E-2"/>
          <c:w val="0.67299716713881019"/>
          <c:h val="0.7508317827810014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'csillapitott gerjesztett rezgés'!$J$10</c:f>
              <c:strCache>
                <c:ptCount val="1"/>
                <c:pt idx="0">
                  <c:v>F0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'csillapitott gerjesztett rezgés'!$A$11:$A$68</c:f>
              <c:numCache>
                <c:formatCode>General</c:formatCode>
                <c:ptCount val="58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0.91</c:v>
                </c:pt>
                <c:pt idx="11">
                  <c:v>0.92</c:v>
                </c:pt>
                <c:pt idx="12">
                  <c:v>0.93</c:v>
                </c:pt>
                <c:pt idx="13">
                  <c:v>0.94</c:v>
                </c:pt>
                <c:pt idx="14">
                  <c:v>0.95</c:v>
                </c:pt>
                <c:pt idx="15">
                  <c:v>0.96</c:v>
                </c:pt>
                <c:pt idx="16">
                  <c:v>0.97</c:v>
                </c:pt>
                <c:pt idx="17">
                  <c:v>0.98</c:v>
                </c:pt>
                <c:pt idx="18">
                  <c:v>0.99</c:v>
                </c:pt>
                <c:pt idx="19">
                  <c:v>1.01</c:v>
                </c:pt>
                <c:pt idx="20">
                  <c:v>1.02</c:v>
                </c:pt>
                <c:pt idx="21">
                  <c:v>1.03</c:v>
                </c:pt>
                <c:pt idx="22">
                  <c:v>1.04</c:v>
                </c:pt>
                <c:pt idx="23">
                  <c:v>1.05</c:v>
                </c:pt>
                <c:pt idx="24">
                  <c:v>1.06</c:v>
                </c:pt>
                <c:pt idx="25">
                  <c:v>1.07</c:v>
                </c:pt>
                <c:pt idx="26">
                  <c:v>1.08</c:v>
                </c:pt>
                <c:pt idx="27">
                  <c:v>1.0900000000000001</c:v>
                </c:pt>
                <c:pt idx="28">
                  <c:v>1.1000000000000001</c:v>
                </c:pt>
                <c:pt idx="29">
                  <c:v>1.2</c:v>
                </c:pt>
                <c:pt idx="30">
                  <c:v>1.3</c:v>
                </c:pt>
                <c:pt idx="31">
                  <c:v>1.4</c:v>
                </c:pt>
                <c:pt idx="32">
                  <c:v>1.5</c:v>
                </c:pt>
                <c:pt idx="33">
                  <c:v>1.6</c:v>
                </c:pt>
                <c:pt idx="34">
                  <c:v>1.7</c:v>
                </c:pt>
                <c:pt idx="35">
                  <c:v>1.8</c:v>
                </c:pt>
                <c:pt idx="36">
                  <c:v>1.9</c:v>
                </c:pt>
                <c:pt idx="37">
                  <c:v>2</c:v>
                </c:pt>
                <c:pt idx="38">
                  <c:v>2.1</c:v>
                </c:pt>
                <c:pt idx="39">
                  <c:v>2.2000000000000002</c:v>
                </c:pt>
                <c:pt idx="40">
                  <c:v>2.2999999999999998</c:v>
                </c:pt>
                <c:pt idx="41">
                  <c:v>2.4</c:v>
                </c:pt>
                <c:pt idx="42">
                  <c:v>2.5</c:v>
                </c:pt>
                <c:pt idx="43">
                  <c:v>2.6</c:v>
                </c:pt>
                <c:pt idx="44">
                  <c:v>2.7</c:v>
                </c:pt>
                <c:pt idx="45">
                  <c:v>2.8</c:v>
                </c:pt>
                <c:pt idx="46">
                  <c:v>2.9</c:v>
                </c:pt>
                <c:pt idx="47">
                  <c:v>3</c:v>
                </c:pt>
                <c:pt idx="48">
                  <c:v>3.1</c:v>
                </c:pt>
                <c:pt idx="49">
                  <c:v>3.2</c:v>
                </c:pt>
                <c:pt idx="50">
                  <c:v>3.3</c:v>
                </c:pt>
                <c:pt idx="51">
                  <c:v>3.4</c:v>
                </c:pt>
                <c:pt idx="52">
                  <c:v>3.5</c:v>
                </c:pt>
                <c:pt idx="53">
                  <c:v>3.6</c:v>
                </c:pt>
                <c:pt idx="54">
                  <c:v>3.7</c:v>
                </c:pt>
                <c:pt idx="55">
                  <c:v>3.8</c:v>
                </c:pt>
                <c:pt idx="56">
                  <c:v>3.9</c:v>
                </c:pt>
                <c:pt idx="57">
                  <c:v>4</c:v>
                </c:pt>
              </c:numCache>
            </c:numRef>
          </c:xVal>
          <c:yVal>
            <c:numRef>
              <c:f>'csillapitott gerjesztett rezgés'!$J$11:$J$68</c:f>
              <c:numCache>
                <c:formatCode>General</c:formatCode>
                <c:ptCount val="5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3.1415000000000002</c:v>
                </c:pt>
                <c:pt idx="20">
                  <c:v>3.1415000000000002</c:v>
                </c:pt>
                <c:pt idx="21">
                  <c:v>3.1415000000000002</c:v>
                </c:pt>
                <c:pt idx="22">
                  <c:v>3.1415000000000002</c:v>
                </c:pt>
                <c:pt idx="23">
                  <c:v>3.1415000000000002</c:v>
                </c:pt>
                <c:pt idx="24">
                  <c:v>3.1415000000000002</c:v>
                </c:pt>
                <c:pt idx="25">
                  <c:v>3.1415000000000002</c:v>
                </c:pt>
                <c:pt idx="26">
                  <c:v>3.1415000000000002</c:v>
                </c:pt>
                <c:pt idx="27">
                  <c:v>3.1415000000000002</c:v>
                </c:pt>
                <c:pt idx="28">
                  <c:v>3.1415000000000002</c:v>
                </c:pt>
                <c:pt idx="29">
                  <c:v>3.1415000000000002</c:v>
                </c:pt>
                <c:pt idx="30">
                  <c:v>3.1415000000000002</c:v>
                </c:pt>
                <c:pt idx="31">
                  <c:v>3.1415000000000002</c:v>
                </c:pt>
                <c:pt idx="32">
                  <c:v>3.1415000000000002</c:v>
                </c:pt>
                <c:pt idx="33">
                  <c:v>3.1415000000000002</c:v>
                </c:pt>
                <c:pt idx="34">
                  <c:v>3.1415000000000002</c:v>
                </c:pt>
                <c:pt idx="35">
                  <c:v>3.1415000000000002</c:v>
                </c:pt>
                <c:pt idx="36">
                  <c:v>3.1415000000000002</c:v>
                </c:pt>
                <c:pt idx="37">
                  <c:v>3.1415000000000002</c:v>
                </c:pt>
                <c:pt idx="38">
                  <c:v>3.1415000000000002</c:v>
                </c:pt>
                <c:pt idx="39">
                  <c:v>3.1415000000000002</c:v>
                </c:pt>
                <c:pt idx="40">
                  <c:v>3.1415000000000002</c:v>
                </c:pt>
                <c:pt idx="41">
                  <c:v>3.1415000000000002</c:v>
                </c:pt>
                <c:pt idx="42">
                  <c:v>3.1415000000000002</c:v>
                </c:pt>
                <c:pt idx="43">
                  <c:v>3.1415000000000002</c:v>
                </c:pt>
                <c:pt idx="44">
                  <c:v>3.1415000000000002</c:v>
                </c:pt>
                <c:pt idx="45">
                  <c:v>3.1415000000000002</c:v>
                </c:pt>
                <c:pt idx="46">
                  <c:v>3.1415000000000002</c:v>
                </c:pt>
                <c:pt idx="47">
                  <c:v>3.1415000000000002</c:v>
                </c:pt>
                <c:pt idx="48">
                  <c:v>3.1415000000000002</c:v>
                </c:pt>
                <c:pt idx="49">
                  <c:v>3.1415000000000002</c:v>
                </c:pt>
                <c:pt idx="50">
                  <c:v>3.1415000000000002</c:v>
                </c:pt>
                <c:pt idx="51">
                  <c:v>3.1415000000000002</c:v>
                </c:pt>
                <c:pt idx="52">
                  <c:v>3.1415000000000002</c:v>
                </c:pt>
                <c:pt idx="53">
                  <c:v>3.1415000000000002</c:v>
                </c:pt>
                <c:pt idx="54">
                  <c:v>3.1415000000000002</c:v>
                </c:pt>
                <c:pt idx="55">
                  <c:v>3.1415000000000002</c:v>
                </c:pt>
                <c:pt idx="56">
                  <c:v>3.1415000000000002</c:v>
                </c:pt>
                <c:pt idx="57">
                  <c:v>3.1415000000000002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833-4819-86C0-AA8508B7C361}"/>
            </c:ext>
          </c:extLst>
        </c:ser>
        <c:ser>
          <c:idx val="1"/>
          <c:order val="1"/>
          <c:tx>
            <c:strRef>
              <c:f>'csillapitott gerjesztett rezgés'!$K$10</c:f>
              <c:strCache>
                <c:ptCount val="1"/>
                <c:pt idx="0">
                  <c:v>F01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'csillapitott gerjesztett rezgés'!$A$11:$A$68</c:f>
              <c:numCache>
                <c:formatCode>General</c:formatCode>
                <c:ptCount val="58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0.91</c:v>
                </c:pt>
                <c:pt idx="11">
                  <c:v>0.92</c:v>
                </c:pt>
                <c:pt idx="12">
                  <c:v>0.93</c:v>
                </c:pt>
                <c:pt idx="13">
                  <c:v>0.94</c:v>
                </c:pt>
                <c:pt idx="14">
                  <c:v>0.95</c:v>
                </c:pt>
                <c:pt idx="15">
                  <c:v>0.96</c:v>
                </c:pt>
                <c:pt idx="16">
                  <c:v>0.97</c:v>
                </c:pt>
                <c:pt idx="17">
                  <c:v>0.98</c:v>
                </c:pt>
                <c:pt idx="18">
                  <c:v>0.99</c:v>
                </c:pt>
                <c:pt idx="19">
                  <c:v>1.01</c:v>
                </c:pt>
                <c:pt idx="20">
                  <c:v>1.02</c:v>
                </c:pt>
                <c:pt idx="21">
                  <c:v>1.03</c:v>
                </c:pt>
                <c:pt idx="22">
                  <c:v>1.04</c:v>
                </c:pt>
                <c:pt idx="23">
                  <c:v>1.05</c:v>
                </c:pt>
                <c:pt idx="24">
                  <c:v>1.06</c:v>
                </c:pt>
                <c:pt idx="25">
                  <c:v>1.07</c:v>
                </c:pt>
                <c:pt idx="26">
                  <c:v>1.08</c:v>
                </c:pt>
                <c:pt idx="27">
                  <c:v>1.0900000000000001</c:v>
                </c:pt>
                <c:pt idx="28">
                  <c:v>1.1000000000000001</c:v>
                </c:pt>
                <c:pt idx="29">
                  <c:v>1.2</c:v>
                </c:pt>
                <c:pt idx="30">
                  <c:v>1.3</c:v>
                </c:pt>
                <c:pt idx="31">
                  <c:v>1.4</c:v>
                </c:pt>
                <c:pt idx="32">
                  <c:v>1.5</c:v>
                </c:pt>
                <c:pt idx="33">
                  <c:v>1.6</c:v>
                </c:pt>
                <c:pt idx="34">
                  <c:v>1.7</c:v>
                </c:pt>
                <c:pt idx="35">
                  <c:v>1.8</c:v>
                </c:pt>
                <c:pt idx="36">
                  <c:v>1.9</c:v>
                </c:pt>
                <c:pt idx="37">
                  <c:v>2</c:v>
                </c:pt>
                <c:pt idx="38">
                  <c:v>2.1</c:v>
                </c:pt>
                <c:pt idx="39">
                  <c:v>2.2000000000000002</c:v>
                </c:pt>
                <c:pt idx="40">
                  <c:v>2.2999999999999998</c:v>
                </c:pt>
                <c:pt idx="41">
                  <c:v>2.4</c:v>
                </c:pt>
                <c:pt idx="42">
                  <c:v>2.5</c:v>
                </c:pt>
                <c:pt idx="43">
                  <c:v>2.6</c:v>
                </c:pt>
                <c:pt idx="44">
                  <c:v>2.7</c:v>
                </c:pt>
                <c:pt idx="45">
                  <c:v>2.8</c:v>
                </c:pt>
                <c:pt idx="46">
                  <c:v>2.9</c:v>
                </c:pt>
                <c:pt idx="47">
                  <c:v>3</c:v>
                </c:pt>
                <c:pt idx="48">
                  <c:v>3.1</c:v>
                </c:pt>
                <c:pt idx="49">
                  <c:v>3.2</c:v>
                </c:pt>
                <c:pt idx="50">
                  <c:v>3.3</c:v>
                </c:pt>
                <c:pt idx="51">
                  <c:v>3.4</c:v>
                </c:pt>
                <c:pt idx="52">
                  <c:v>3.5</c:v>
                </c:pt>
                <c:pt idx="53">
                  <c:v>3.6</c:v>
                </c:pt>
                <c:pt idx="54">
                  <c:v>3.7</c:v>
                </c:pt>
                <c:pt idx="55">
                  <c:v>3.8</c:v>
                </c:pt>
                <c:pt idx="56">
                  <c:v>3.9</c:v>
                </c:pt>
                <c:pt idx="57">
                  <c:v>4</c:v>
                </c:pt>
              </c:numCache>
            </c:numRef>
          </c:xVal>
          <c:yVal>
            <c:numRef>
              <c:f>'csillapitott gerjesztett rezgés'!$K$11:$K$68</c:f>
              <c:numCache>
                <c:formatCode>General</c:formatCode>
                <c:ptCount val="58"/>
                <c:pt idx="0">
                  <c:v>0</c:v>
                </c:pt>
                <c:pt idx="1">
                  <c:v>2.0199272581067931E-2</c:v>
                </c:pt>
                <c:pt idx="2">
                  <c:v>4.1642579098588435E-2</c:v>
                </c:pt>
                <c:pt idx="3">
                  <c:v>6.5838769302693806E-2</c:v>
                </c:pt>
                <c:pt idx="4">
                  <c:v>9.4951706342756348E-2</c:v>
                </c:pt>
                <c:pt idx="5">
                  <c:v>0.13255153229667402</c:v>
                </c:pt>
                <c:pt idx="6">
                  <c:v>0.18534794999569476</c:v>
                </c:pt>
                <c:pt idx="7">
                  <c:v>0.26791042242333968</c:v>
                </c:pt>
                <c:pt idx="8">
                  <c:v>0.41822432957922934</c:v>
                </c:pt>
                <c:pt idx="9">
                  <c:v>0.75837771421018374</c:v>
                </c:pt>
                <c:pt idx="10">
                  <c:v>0.81392955432432457</c:v>
                </c:pt>
                <c:pt idx="11">
                  <c:v>0.87520334995161619</c:v>
                </c:pt>
                <c:pt idx="12">
                  <c:v>0.94260769029827862</c:v>
                </c:pt>
                <c:pt idx="13">
                  <c:v>1.0164155866177931</c:v>
                </c:pt>
                <c:pt idx="14">
                  <c:v>1.0966778962893935</c:v>
                </c:pt>
                <c:pt idx="15">
                  <c:v>1.183126748420898</c:v>
                </c:pt>
                <c:pt idx="16">
                  <c:v>1.275088861275929</c:v>
                </c:pt>
                <c:pt idx="17">
                  <c:v>1.3714392159104158</c:v>
                </c:pt>
                <c:pt idx="18">
                  <c:v>1.4706276493441572</c:v>
                </c:pt>
                <c:pt idx="19">
                  <c:v>1.6698821536851336</c:v>
                </c:pt>
                <c:pt idx="20">
                  <c:v>1.7662131545671764</c:v>
                </c:pt>
                <c:pt idx="21">
                  <c:v>1.8581474692045838</c:v>
                </c:pt>
                <c:pt idx="22">
                  <c:v>1.9445612121241613</c:v>
                </c:pt>
                <c:pt idx="23">
                  <c:v>2.0247821962982995</c:v>
                </c:pt>
                <c:pt idx="24">
                  <c:v>2.0985434624781973</c:v>
                </c:pt>
                <c:pt idx="25">
                  <c:v>2.1658965370409513</c:v>
                </c:pt>
                <c:pt idx="26">
                  <c:v>2.2271148628307711</c:v>
                </c:pt>
                <c:pt idx="27">
                  <c:v>2.2826072635169132</c:v>
                </c:pt>
                <c:pt idx="28">
                  <c:v>2.3328502137920895</c:v>
                </c:pt>
                <c:pt idx="29">
                  <c:v>2.6421532783198698</c:v>
                </c:pt>
                <c:pt idx="30">
                  <c:v>2.7811420294752072</c:v>
                </c:pt>
                <c:pt idx="31">
                  <c:v>2.8577058907916721</c:v>
                </c:pt>
                <c:pt idx="32">
                  <c:v>2.905955019279137</c:v>
                </c:pt>
                <c:pt idx="33">
                  <c:v>2.9391783716216966</c:v>
                </c:pt>
                <c:pt idx="34">
                  <c:v>2.9635095627934538</c:v>
                </c:pt>
                <c:pt idx="35">
                  <c:v>2.9821483590960831</c:v>
                </c:pt>
                <c:pt idx="36">
                  <c:v>2.9969219866715675</c:v>
                </c:pt>
                <c:pt idx="37">
                  <c:v>3.008948467703326</c:v>
                </c:pt>
                <c:pt idx="38">
                  <c:v>3.0189500576444455</c:v>
                </c:pt>
                <c:pt idx="39">
                  <c:v>3.0274142208318406</c:v>
                </c:pt>
                <c:pt idx="40">
                  <c:v>3.0346820228243012</c:v>
                </c:pt>
                <c:pt idx="41">
                  <c:v>3.0409994009453705</c:v>
                </c:pt>
                <c:pt idx="42">
                  <c:v>3.0465482936572439</c:v>
                </c:pt>
                <c:pt idx="43">
                  <c:v>3.0514662867938087</c:v>
                </c:pt>
                <c:pt idx="44">
                  <c:v>3.0558594310374154</c:v>
                </c:pt>
                <c:pt idx="45">
                  <c:v>3.0598108484075235</c:v>
                </c:pt>
                <c:pt idx="46">
                  <c:v>3.0633866587041965</c:v>
                </c:pt>
                <c:pt idx="47">
                  <c:v>3.0666401522892333</c:v>
                </c:pt>
                <c:pt idx="48">
                  <c:v>3.069614786847167</c:v>
                </c:pt>
                <c:pt idx="49">
                  <c:v>3.0723463780379627</c:v>
                </c:pt>
                <c:pt idx="50">
                  <c:v>3.0748647266343165</c:v>
                </c:pt>
                <c:pt idx="51">
                  <c:v>3.0771948446819017</c:v>
                </c:pt>
                <c:pt idx="52">
                  <c:v>3.0793578917125317</c:v>
                </c:pt>
                <c:pt idx="53">
                  <c:v>3.0813718982005716</c:v>
                </c:pt>
                <c:pt idx="54">
                  <c:v>3.0832523307953039</c:v>
                </c:pt>
                <c:pt idx="55">
                  <c:v>3.085012538425961</c:v>
                </c:pt>
                <c:pt idx="56">
                  <c:v>3.0866641076912966</c:v>
                </c:pt>
                <c:pt idx="57">
                  <c:v>3.0882171484403078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833-4819-86C0-AA8508B7C361}"/>
            </c:ext>
          </c:extLst>
        </c:ser>
        <c:ser>
          <c:idx val="2"/>
          <c:order val="2"/>
          <c:tx>
            <c:strRef>
              <c:f>'csillapitott gerjesztett rezgés'!$L$10</c:f>
              <c:strCache>
                <c:ptCount val="1"/>
                <c:pt idx="0">
                  <c:v>F02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'csillapitott gerjesztett rezgés'!$A$11:$A$68</c:f>
              <c:numCache>
                <c:formatCode>General</c:formatCode>
                <c:ptCount val="58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0.91</c:v>
                </c:pt>
                <c:pt idx="11">
                  <c:v>0.92</c:v>
                </c:pt>
                <c:pt idx="12">
                  <c:v>0.93</c:v>
                </c:pt>
                <c:pt idx="13">
                  <c:v>0.94</c:v>
                </c:pt>
                <c:pt idx="14">
                  <c:v>0.95</c:v>
                </c:pt>
                <c:pt idx="15">
                  <c:v>0.96</c:v>
                </c:pt>
                <c:pt idx="16">
                  <c:v>0.97</c:v>
                </c:pt>
                <c:pt idx="17">
                  <c:v>0.98</c:v>
                </c:pt>
                <c:pt idx="18">
                  <c:v>0.99</c:v>
                </c:pt>
                <c:pt idx="19">
                  <c:v>1.01</c:v>
                </c:pt>
                <c:pt idx="20">
                  <c:v>1.02</c:v>
                </c:pt>
                <c:pt idx="21">
                  <c:v>1.03</c:v>
                </c:pt>
                <c:pt idx="22">
                  <c:v>1.04</c:v>
                </c:pt>
                <c:pt idx="23">
                  <c:v>1.05</c:v>
                </c:pt>
                <c:pt idx="24">
                  <c:v>1.06</c:v>
                </c:pt>
                <c:pt idx="25">
                  <c:v>1.07</c:v>
                </c:pt>
                <c:pt idx="26">
                  <c:v>1.08</c:v>
                </c:pt>
                <c:pt idx="27">
                  <c:v>1.0900000000000001</c:v>
                </c:pt>
                <c:pt idx="28">
                  <c:v>1.1000000000000001</c:v>
                </c:pt>
                <c:pt idx="29">
                  <c:v>1.2</c:v>
                </c:pt>
                <c:pt idx="30">
                  <c:v>1.3</c:v>
                </c:pt>
                <c:pt idx="31">
                  <c:v>1.4</c:v>
                </c:pt>
                <c:pt idx="32">
                  <c:v>1.5</c:v>
                </c:pt>
                <c:pt idx="33">
                  <c:v>1.6</c:v>
                </c:pt>
                <c:pt idx="34">
                  <c:v>1.7</c:v>
                </c:pt>
                <c:pt idx="35">
                  <c:v>1.8</c:v>
                </c:pt>
                <c:pt idx="36">
                  <c:v>1.9</c:v>
                </c:pt>
                <c:pt idx="37">
                  <c:v>2</c:v>
                </c:pt>
                <c:pt idx="38">
                  <c:v>2.1</c:v>
                </c:pt>
                <c:pt idx="39">
                  <c:v>2.2000000000000002</c:v>
                </c:pt>
                <c:pt idx="40">
                  <c:v>2.2999999999999998</c:v>
                </c:pt>
                <c:pt idx="41">
                  <c:v>2.4</c:v>
                </c:pt>
                <c:pt idx="42">
                  <c:v>2.5</c:v>
                </c:pt>
                <c:pt idx="43">
                  <c:v>2.6</c:v>
                </c:pt>
                <c:pt idx="44">
                  <c:v>2.7</c:v>
                </c:pt>
                <c:pt idx="45">
                  <c:v>2.8</c:v>
                </c:pt>
                <c:pt idx="46">
                  <c:v>2.9</c:v>
                </c:pt>
                <c:pt idx="47">
                  <c:v>3</c:v>
                </c:pt>
                <c:pt idx="48">
                  <c:v>3.1</c:v>
                </c:pt>
                <c:pt idx="49">
                  <c:v>3.2</c:v>
                </c:pt>
                <c:pt idx="50">
                  <c:v>3.3</c:v>
                </c:pt>
                <c:pt idx="51">
                  <c:v>3.4</c:v>
                </c:pt>
                <c:pt idx="52">
                  <c:v>3.5</c:v>
                </c:pt>
                <c:pt idx="53">
                  <c:v>3.6</c:v>
                </c:pt>
                <c:pt idx="54">
                  <c:v>3.7</c:v>
                </c:pt>
                <c:pt idx="55">
                  <c:v>3.8</c:v>
                </c:pt>
                <c:pt idx="56">
                  <c:v>3.9</c:v>
                </c:pt>
                <c:pt idx="57">
                  <c:v>4</c:v>
                </c:pt>
              </c:numCache>
            </c:numRef>
          </c:xVal>
          <c:yVal>
            <c:numRef>
              <c:f>'csillapitott gerjesztett rezgés'!$L$11:$L$68</c:f>
              <c:numCache>
                <c:formatCode>General</c:formatCode>
                <c:ptCount val="58"/>
                <c:pt idx="0">
                  <c:v>0</c:v>
                </c:pt>
                <c:pt idx="1">
                  <c:v>4.0382075564499915E-2</c:v>
                </c:pt>
                <c:pt idx="2">
                  <c:v>8.3141231888441247E-2</c:v>
                </c:pt>
                <c:pt idx="3">
                  <c:v>0.13111164848254669</c:v>
                </c:pt>
                <c:pt idx="4">
                  <c:v>0.1882215053047708</c:v>
                </c:pt>
                <c:pt idx="5">
                  <c:v>0.26060239174734096</c:v>
                </c:pt>
                <c:pt idx="6">
                  <c:v>0.35877067027057225</c:v>
                </c:pt>
                <c:pt idx="7">
                  <c:v>0.50209019902199403</c:v>
                </c:pt>
                <c:pt idx="8">
                  <c:v>0.72664234068172595</c:v>
                </c:pt>
                <c:pt idx="9">
                  <c:v>1.0851742334974281</c:v>
                </c:pt>
                <c:pt idx="10">
                  <c:v>1.1295918874062343</c:v>
                </c:pt>
                <c:pt idx="11">
                  <c:v>1.1753879232229212</c:v>
                </c:pt>
                <c:pt idx="12">
                  <c:v>1.2224354777514994</c:v>
                </c:pt>
                <c:pt idx="13">
                  <c:v>1.2705789270856365</c:v>
                </c:pt>
                <c:pt idx="14">
                  <c:v>1.319635362217128</c:v>
                </c:pt>
                <c:pt idx="15">
                  <c:v>1.3693975857673759</c:v>
                </c:pt>
                <c:pt idx="16">
                  <c:v>1.419638609396767</c:v>
                </c:pt>
                <c:pt idx="17">
                  <c:v>1.4701174715965619</c:v>
                </c:pt>
                <c:pt idx="18">
                  <c:v>1.520586038737068</c:v>
                </c:pt>
                <c:pt idx="19">
                  <c:v>1.6204151584000952</c:v>
                </c:pt>
                <c:pt idx="20">
                  <c:v>1.6694015464652563</c:v>
                </c:pt>
                <c:pt idx="21">
                  <c:v>1.717456542134681</c:v>
                </c:pt>
                <c:pt idx="22">
                  <c:v>1.7643982877021707</c:v>
                </c:pt>
                <c:pt idx="23">
                  <c:v>1.8100722970100551</c:v>
                </c:pt>
                <c:pt idx="24">
                  <c:v>1.8543528706294952</c:v>
                </c:pt>
                <c:pt idx="25">
                  <c:v>1.897143114786723</c:v>
                </c:pt>
                <c:pt idx="26">
                  <c:v>1.9383737848982125</c:v>
                </c:pt>
                <c:pt idx="27">
                  <c:v>1.9780012287061233</c:v>
                </c:pt>
                <c:pt idx="28">
                  <c:v>2.0160047170927897</c:v>
                </c:pt>
                <c:pt idx="29">
                  <c:v>2.3126509412110208</c:v>
                </c:pt>
                <c:pt idx="30">
                  <c:v>2.4956840805264306</c:v>
                </c:pt>
                <c:pt idx="31">
                  <c:v>2.6134255515736404</c:v>
                </c:pt>
                <c:pt idx="32">
                  <c:v>2.6939800248428303</c:v>
                </c:pt>
                <c:pt idx="33">
                  <c:v>2.7521832781668594</c:v>
                </c:pt>
                <c:pt idx="34">
                  <c:v>2.7961317905984076</c:v>
                </c:pt>
                <c:pt idx="35">
                  <c:v>2.830501719394459</c:v>
                </c:pt>
                <c:pt idx="36">
                  <c:v>2.858147326901904</c:v>
                </c:pt>
                <c:pt idx="37">
                  <c:v>2.8808976082526594</c:v>
                </c:pt>
                <c:pt idx="38">
                  <c:v>2.8999743618231926</c:v>
                </c:pt>
                <c:pt idx="39">
                  <c:v>2.9162232207859451</c:v>
                </c:pt>
                <c:pt idx="40">
                  <c:v>2.9302474818056594</c:v>
                </c:pt>
                <c:pt idx="41">
                  <c:v>2.9424889326702406</c:v>
                </c:pt>
                <c:pt idx="42">
                  <c:v>2.9532784946952293</c:v>
                </c:pt>
                <c:pt idx="43">
                  <c:v>2.962868993486051</c:v>
                </c:pt>
                <c:pt idx="44">
                  <c:v>2.9714569773284971</c:v>
                </c:pt>
                <c:pt idx="45">
                  <c:v>2.9791976147092982</c:v>
                </c:pt>
                <c:pt idx="46">
                  <c:v>2.98621509737269</c:v>
                </c:pt>
                <c:pt idx="47">
                  <c:v>2.992610052390503</c:v>
                </c:pt>
                <c:pt idx="48">
                  <c:v>2.9984649195499422</c:v>
                </c:pt>
                <c:pt idx="49">
                  <c:v>3.0038479168656904</c:v>
                </c:pt>
                <c:pt idx="50">
                  <c:v>3.0088160086008489</c:v>
                </c:pt>
                <c:pt idx="51">
                  <c:v>3.0134171569249597</c:v>
                </c:pt>
                <c:pt idx="52">
                  <c:v>3.017692051350529</c:v>
                </c:pt>
                <c:pt idx="53">
                  <c:v>3.0216754522167291</c:v>
                </c:pt>
                <c:pt idx="54">
                  <c:v>3.0253972453082354</c:v>
                </c:pt>
                <c:pt idx="55">
                  <c:v>3.0288832777416141</c:v>
                </c:pt>
                <c:pt idx="56">
                  <c:v>3.0321560264295928</c:v>
                </c:pt>
                <c:pt idx="57">
                  <c:v>3.0352351371089212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833-4819-86C0-AA8508B7C361}"/>
            </c:ext>
          </c:extLst>
        </c:ser>
        <c:ser>
          <c:idx val="3"/>
          <c:order val="3"/>
          <c:tx>
            <c:strRef>
              <c:f>'csillapitott gerjesztett rezgés'!$M$10</c:f>
              <c:strCache>
                <c:ptCount val="1"/>
                <c:pt idx="0">
                  <c:v>F05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'csillapitott gerjesztett rezgés'!$A$11:$A$68</c:f>
              <c:numCache>
                <c:formatCode>General</c:formatCode>
                <c:ptCount val="58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0.91</c:v>
                </c:pt>
                <c:pt idx="11">
                  <c:v>0.92</c:v>
                </c:pt>
                <c:pt idx="12">
                  <c:v>0.93</c:v>
                </c:pt>
                <c:pt idx="13">
                  <c:v>0.94</c:v>
                </c:pt>
                <c:pt idx="14">
                  <c:v>0.95</c:v>
                </c:pt>
                <c:pt idx="15">
                  <c:v>0.96</c:v>
                </c:pt>
                <c:pt idx="16">
                  <c:v>0.97</c:v>
                </c:pt>
                <c:pt idx="17">
                  <c:v>0.98</c:v>
                </c:pt>
                <c:pt idx="18">
                  <c:v>0.99</c:v>
                </c:pt>
                <c:pt idx="19">
                  <c:v>1.01</c:v>
                </c:pt>
                <c:pt idx="20">
                  <c:v>1.02</c:v>
                </c:pt>
                <c:pt idx="21">
                  <c:v>1.03</c:v>
                </c:pt>
                <c:pt idx="22">
                  <c:v>1.04</c:v>
                </c:pt>
                <c:pt idx="23">
                  <c:v>1.05</c:v>
                </c:pt>
                <c:pt idx="24">
                  <c:v>1.06</c:v>
                </c:pt>
                <c:pt idx="25">
                  <c:v>1.07</c:v>
                </c:pt>
                <c:pt idx="26">
                  <c:v>1.08</c:v>
                </c:pt>
                <c:pt idx="27">
                  <c:v>1.0900000000000001</c:v>
                </c:pt>
                <c:pt idx="28">
                  <c:v>1.1000000000000001</c:v>
                </c:pt>
                <c:pt idx="29">
                  <c:v>1.2</c:v>
                </c:pt>
                <c:pt idx="30">
                  <c:v>1.3</c:v>
                </c:pt>
                <c:pt idx="31">
                  <c:v>1.4</c:v>
                </c:pt>
                <c:pt idx="32">
                  <c:v>1.5</c:v>
                </c:pt>
                <c:pt idx="33">
                  <c:v>1.6</c:v>
                </c:pt>
                <c:pt idx="34">
                  <c:v>1.7</c:v>
                </c:pt>
                <c:pt idx="35">
                  <c:v>1.8</c:v>
                </c:pt>
                <c:pt idx="36">
                  <c:v>1.9</c:v>
                </c:pt>
                <c:pt idx="37">
                  <c:v>2</c:v>
                </c:pt>
                <c:pt idx="38">
                  <c:v>2.1</c:v>
                </c:pt>
                <c:pt idx="39">
                  <c:v>2.2000000000000002</c:v>
                </c:pt>
                <c:pt idx="40">
                  <c:v>2.2999999999999998</c:v>
                </c:pt>
                <c:pt idx="41">
                  <c:v>2.4</c:v>
                </c:pt>
                <c:pt idx="42">
                  <c:v>2.5</c:v>
                </c:pt>
                <c:pt idx="43">
                  <c:v>2.6</c:v>
                </c:pt>
                <c:pt idx="44">
                  <c:v>2.7</c:v>
                </c:pt>
                <c:pt idx="45">
                  <c:v>2.8</c:v>
                </c:pt>
                <c:pt idx="46">
                  <c:v>2.9</c:v>
                </c:pt>
                <c:pt idx="47">
                  <c:v>3</c:v>
                </c:pt>
                <c:pt idx="48">
                  <c:v>3.1</c:v>
                </c:pt>
                <c:pt idx="49">
                  <c:v>3.2</c:v>
                </c:pt>
                <c:pt idx="50">
                  <c:v>3.3</c:v>
                </c:pt>
                <c:pt idx="51">
                  <c:v>3.4</c:v>
                </c:pt>
                <c:pt idx="52">
                  <c:v>3.5</c:v>
                </c:pt>
                <c:pt idx="53">
                  <c:v>3.6</c:v>
                </c:pt>
                <c:pt idx="54">
                  <c:v>3.7</c:v>
                </c:pt>
                <c:pt idx="55">
                  <c:v>3.8</c:v>
                </c:pt>
                <c:pt idx="56">
                  <c:v>3.9</c:v>
                </c:pt>
                <c:pt idx="57">
                  <c:v>4</c:v>
                </c:pt>
              </c:numCache>
            </c:numRef>
          </c:xVal>
          <c:yVal>
            <c:numRef>
              <c:f>'csillapitott gerjesztett rezgés'!$M$11:$M$68</c:f>
              <c:numCache>
                <c:formatCode>General</c:formatCode>
                <c:ptCount val="58"/>
                <c:pt idx="0">
                  <c:v>0</c:v>
                </c:pt>
                <c:pt idx="1">
                  <c:v>0.1006686521578289</c:v>
                </c:pt>
                <c:pt idx="2">
                  <c:v>0.20539538918976741</c:v>
                </c:pt>
                <c:pt idx="3">
                  <c:v>0.31845023634615499</c:v>
                </c:pt>
                <c:pt idx="4">
                  <c:v>0.44441920990109895</c:v>
                </c:pt>
                <c:pt idx="5">
                  <c:v>0.5880026035475675</c:v>
                </c:pt>
                <c:pt idx="6">
                  <c:v>0.75315128096219441</c:v>
                </c:pt>
                <c:pt idx="7">
                  <c:v>0.94115114414874057</c:v>
                </c:pt>
                <c:pt idx="8">
                  <c:v>1.1479424006619561</c:v>
                </c:pt>
                <c:pt idx="9">
                  <c:v>1.3627401900038709</c:v>
                </c:pt>
                <c:pt idx="10">
                  <c:v>1.3840952066280838</c:v>
                </c:pt>
                <c:pt idx="11">
                  <c:v>1.4053656414915245</c:v>
                </c:pt>
                <c:pt idx="12">
                  <c:v>1.4265366334362823</c:v>
                </c:pt>
                <c:pt idx="13">
                  <c:v>1.4475937072029079</c:v>
                </c:pt>
                <c:pt idx="14">
                  <c:v>1.4685228351834687</c:v>
                </c:pt>
                <c:pt idx="15">
                  <c:v>1.4893104941392614</c:v>
                </c:pt>
                <c:pt idx="16">
                  <c:v>1.5099437163899994</c:v>
                </c:pt>
                <c:pt idx="17">
                  <c:v>1.5304101350893613</c:v>
                </c:pt>
                <c:pt idx="18">
                  <c:v>1.5506980233128616</c:v>
                </c:pt>
                <c:pt idx="19">
                  <c:v>1.5906020366698095</c:v>
                </c:pt>
                <c:pt idx="20">
                  <c:v>1.6102908238023801</c:v>
                </c:pt>
                <c:pt idx="21">
                  <c:v>1.6297611310015143</c:v>
                </c:pt>
                <c:pt idx="22">
                  <c:v>1.6490047951378974</c:v>
                </c:pt>
                <c:pt idx="23">
                  <c:v>1.6680143956167532</c:v>
                </c:pt>
                <c:pt idx="24">
                  <c:v>1.6867832511037075</c:v>
                </c:pt>
                <c:pt idx="25">
                  <c:v>1.7053054113220842</c:v>
                </c:pt>
                <c:pt idx="26">
                  <c:v>1.7235756443663661</c:v>
                </c:pt>
                <c:pt idx="27">
                  <c:v>1.7415894200012874</c:v>
                </c:pt>
                <c:pt idx="28">
                  <c:v>1.7593428894296068</c:v>
                </c:pt>
                <c:pt idx="29">
                  <c:v>1.9221484672086553</c:v>
                </c:pt>
                <c:pt idx="30">
                  <c:v>2.0586626008401256</c:v>
                </c:pt>
                <c:pt idx="31">
                  <c:v>2.1717774277028528</c:v>
                </c:pt>
                <c:pt idx="32">
                  <c:v>2.265441949401807</c:v>
                </c:pt>
                <c:pt idx="33">
                  <c:v>2.3434442847685002</c:v>
                </c:pt>
                <c:pt idx="34">
                  <c:v>2.408977295865979</c:v>
                </c:pt>
                <c:pt idx="35">
                  <c:v>2.4645851481575232</c:v>
                </c:pt>
                <c:pt idx="36">
                  <c:v>2.5122482365037899</c:v>
                </c:pt>
                <c:pt idx="37">
                  <c:v>2.5534973964524328</c:v>
                </c:pt>
                <c:pt idx="38">
                  <c:v>2.5895178458816219</c:v>
                </c:pt>
                <c:pt idx="39">
                  <c:v>2.6212328099899538</c:v>
                </c:pt>
                <c:pt idx="40">
                  <c:v>2.6493674505909346</c:v>
                </c:pt>
                <c:pt idx="41">
                  <c:v>2.6744966988970442</c:v>
                </c:pt>
                <c:pt idx="42">
                  <c:v>2.6970807900989011</c:v>
                </c:pt>
                <c:pt idx="43">
                  <c:v>2.7174916732254593</c:v>
                </c:pt>
                <c:pt idx="44">
                  <c:v>2.7360327294124387</c:v>
                </c:pt>
                <c:pt idx="45">
                  <c:v>2.7529535951283721</c:v>
                </c:pt>
                <c:pt idx="46">
                  <c:v>2.7684613953831105</c:v>
                </c:pt>
                <c:pt idx="47">
                  <c:v>2.782729329729428</c:v>
                </c:pt>
                <c:pt idx="48">
                  <c:v>2.7959032925418974</c:v>
                </c:pt>
                <c:pt idx="49">
                  <c:v>2.8081070221127353</c:v>
                </c:pt>
                <c:pt idx="50">
                  <c:v>2.8194461395768688</c:v>
                </c:pt>
                <c:pt idx="51">
                  <c:v>2.8300113430699065</c:v>
                </c:pt>
                <c:pt idx="52">
                  <c:v>2.8398809537337604</c:v>
                </c:pt>
                <c:pt idx="53">
                  <c:v>2.8491229603831303</c:v>
                </c:pt>
                <c:pt idx="54">
                  <c:v>2.8577966733369653</c:v>
                </c:pt>
                <c:pt idx="55">
                  <c:v>2.8659540712491194</c:v>
                </c:pt>
                <c:pt idx="56">
                  <c:v>2.8736409050329548</c:v>
                </c:pt>
                <c:pt idx="57">
                  <c:v>2.8808976082526594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833-4819-86C0-AA8508B7C361}"/>
            </c:ext>
          </c:extLst>
        </c:ser>
        <c:ser>
          <c:idx val="4"/>
          <c:order val="4"/>
          <c:tx>
            <c:strRef>
              <c:f>'csillapitott gerjesztett rezgés'!$N$10</c:f>
              <c:strCache>
                <c:ptCount val="1"/>
                <c:pt idx="0">
                  <c:v>F07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'csillapitott gerjesztett rezgés'!$A$11:$A$68</c:f>
              <c:numCache>
                <c:formatCode>General</c:formatCode>
                <c:ptCount val="58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0.91</c:v>
                </c:pt>
                <c:pt idx="11">
                  <c:v>0.92</c:v>
                </c:pt>
                <c:pt idx="12">
                  <c:v>0.93</c:v>
                </c:pt>
                <c:pt idx="13">
                  <c:v>0.94</c:v>
                </c:pt>
                <c:pt idx="14">
                  <c:v>0.95</c:v>
                </c:pt>
                <c:pt idx="15">
                  <c:v>0.96</c:v>
                </c:pt>
                <c:pt idx="16">
                  <c:v>0.97</c:v>
                </c:pt>
                <c:pt idx="17">
                  <c:v>0.98</c:v>
                </c:pt>
                <c:pt idx="18">
                  <c:v>0.99</c:v>
                </c:pt>
                <c:pt idx="19">
                  <c:v>1.01</c:v>
                </c:pt>
                <c:pt idx="20">
                  <c:v>1.02</c:v>
                </c:pt>
                <c:pt idx="21">
                  <c:v>1.03</c:v>
                </c:pt>
                <c:pt idx="22">
                  <c:v>1.04</c:v>
                </c:pt>
                <c:pt idx="23">
                  <c:v>1.05</c:v>
                </c:pt>
                <c:pt idx="24">
                  <c:v>1.06</c:v>
                </c:pt>
                <c:pt idx="25">
                  <c:v>1.07</c:v>
                </c:pt>
                <c:pt idx="26">
                  <c:v>1.08</c:v>
                </c:pt>
                <c:pt idx="27">
                  <c:v>1.0900000000000001</c:v>
                </c:pt>
                <c:pt idx="28">
                  <c:v>1.1000000000000001</c:v>
                </c:pt>
                <c:pt idx="29">
                  <c:v>1.2</c:v>
                </c:pt>
                <c:pt idx="30">
                  <c:v>1.3</c:v>
                </c:pt>
                <c:pt idx="31">
                  <c:v>1.4</c:v>
                </c:pt>
                <c:pt idx="32">
                  <c:v>1.5</c:v>
                </c:pt>
                <c:pt idx="33">
                  <c:v>1.6</c:v>
                </c:pt>
                <c:pt idx="34">
                  <c:v>1.7</c:v>
                </c:pt>
                <c:pt idx="35">
                  <c:v>1.8</c:v>
                </c:pt>
                <c:pt idx="36">
                  <c:v>1.9</c:v>
                </c:pt>
                <c:pt idx="37">
                  <c:v>2</c:v>
                </c:pt>
                <c:pt idx="38">
                  <c:v>2.1</c:v>
                </c:pt>
                <c:pt idx="39">
                  <c:v>2.2000000000000002</c:v>
                </c:pt>
                <c:pt idx="40">
                  <c:v>2.2999999999999998</c:v>
                </c:pt>
                <c:pt idx="41">
                  <c:v>2.4</c:v>
                </c:pt>
                <c:pt idx="42">
                  <c:v>2.5</c:v>
                </c:pt>
                <c:pt idx="43">
                  <c:v>2.6</c:v>
                </c:pt>
                <c:pt idx="44">
                  <c:v>2.7</c:v>
                </c:pt>
                <c:pt idx="45">
                  <c:v>2.8</c:v>
                </c:pt>
                <c:pt idx="46">
                  <c:v>2.9</c:v>
                </c:pt>
                <c:pt idx="47">
                  <c:v>3</c:v>
                </c:pt>
                <c:pt idx="48">
                  <c:v>3.1</c:v>
                </c:pt>
                <c:pt idx="49">
                  <c:v>3.2</c:v>
                </c:pt>
                <c:pt idx="50">
                  <c:v>3.3</c:v>
                </c:pt>
                <c:pt idx="51">
                  <c:v>3.4</c:v>
                </c:pt>
                <c:pt idx="52">
                  <c:v>3.5</c:v>
                </c:pt>
                <c:pt idx="53">
                  <c:v>3.6</c:v>
                </c:pt>
                <c:pt idx="54">
                  <c:v>3.7</c:v>
                </c:pt>
                <c:pt idx="55">
                  <c:v>3.8</c:v>
                </c:pt>
                <c:pt idx="56">
                  <c:v>3.9</c:v>
                </c:pt>
                <c:pt idx="57">
                  <c:v>4</c:v>
                </c:pt>
              </c:numCache>
            </c:numRef>
          </c:xVal>
          <c:yVal>
            <c:numRef>
              <c:f>'csillapitott gerjesztett rezgés'!$N$11:$N$68</c:f>
              <c:numCache>
                <c:formatCode>General</c:formatCode>
                <c:ptCount val="58"/>
                <c:pt idx="0">
                  <c:v>0</c:v>
                </c:pt>
                <c:pt idx="1">
                  <c:v>0.14048262839039766</c:v>
                </c:pt>
                <c:pt idx="2">
                  <c:v>0.28379410920832782</c:v>
                </c:pt>
                <c:pt idx="3">
                  <c:v>0.43240777557053783</c:v>
                </c:pt>
                <c:pt idx="4">
                  <c:v>0.5880026035475675</c:v>
                </c:pt>
                <c:pt idx="5">
                  <c:v>0.75092906239794022</c:v>
                </c:pt>
                <c:pt idx="6">
                  <c:v>0.91971960535041686</c:v>
                </c:pt>
                <c:pt idx="7">
                  <c:v>1.0909558012765685</c:v>
                </c:pt>
                <c:pt idx="8">
                  <c:v>1.2597980461893556</c:v>
                </c:pt>
                <c:pt idx="9">
                  <c:v>1.421130283105287</c:v>
                </c:pt>
                <c:pt idx="10">
                  <c:v>1.4366769786982321</c:v>
                </c:pt>
                <c:pt idx="11">
                  <c:v>1.4521022264905716</c:v>
                </c:pt>
                <c:pt idx="12">
                  <c:v>1.4674029003839553</c:v>
                </c:pt>
                <c:pt idx="13">
                  <c:v>1.4825760608608736</c:v>
                </c:pt>
                <c:pt idx="14">
                  <c:v>1.4976189563487574</c:v>
                </c:pt>
                <c:pt idx="15">
                  <c:v>1.5125290238253633</c:v>
                </c:pt>
                <c:pt idx="16">
                  <c:v>1.5273038886990875</c:v>
                </c:pt>
                <c:pt idx="17">
                  <c:v>1.5419413640013722</c:v>
                </c:pt>
                <c:pt idx="18">
                  <c:v>1.5564394489313109</c:v>
                </c:pt>
                <c:pt idx="19">
                  <c:v>1.5849177087933322</c:v>
                </c:pt>
                <c:pt idx="20">
                  <c:v>1.5989874452445809</c:v>
                </c:pt>
                <c:pt idx="21">
                  <c:v>1.6129116004373745</c:v>
                </c:pt>
                <c:pt idx="22">
                  <c:v>1.6266890629598492</c:v>
                </c:pt>
                <c:pt idx="23">
                  <c:v>1.6403188877019843</c:v>
                </c:pt>
                <c:pt idx="24">
                  <c:v>1.6538002911160152</c:v>
                </c:pt>
                <c:pt idx="25">
                  <c:v>1.667132646189426</c:v>
                </c:pt>
                <c:pt idx="26">
                  <c:v>1.6803154771735971</c:v>
                </c:pt>
                <c:pt idx="27">
                  <c:v>1.6933484541095749</c:v>
                </c:pt>
                <c:pt idx="28">
                  <c:v>1.7062313871906045</c:v>
                </c:pt>
                <c:pt idx="29">
                  <c:v>1.8268550557707071</c:v>
                </c:pt>
                <c:pt idx="30">
                  <c:v>1.933082265283119</c:v>
                </c:pt>
                <c:pt idx="31">
                  <c:v>2.0261547444559973</c:v>
                </c:pt>
                <c:pt idx="32">
                  <c:v>2.1076144159451493</c:v>
                </c:pt>
                <c:pt idx="33">
                  <c:v>2.1790286818236768</c:v>
                </c:pt>
                <c:pt idx="34">
                  <c:v>2.2418475086411123</c:v>
                </c:pt>
                <c:pt idx="35">
                  <c:v>2.2973460138868291</c:v>
                </c:pt>
                <c:pt idx="36">
                  <c:v>2.3466144552329928</c:v>
                </c:pt>
                <c:pt idx="37">
                  <c:v>2.3905709376020599</c:v>
                </c:pt>
                <c:pt idx="38">
                  <c:v>2.4299828662554526</c:v>
                </c:pt>
                <c:pt idx="39">
                  <c:v>2.4654900229246919</c:v>
                </c:pt>
                <c:pt idx="40">
                  <c:v>2.4976260351464399</c:v>
                </c:pt>
                <c:pt idx="41">
                  <c:v>2.5268370480778346</c:v>
                </c:pt>
                <c:pt idx="42">
                  <c:v>2.5534973964524328</c:v>
                </c:pt>
                <c:pt idx="43">
                  <c:v>2.5779225054941208</c:v>
                </c:pt>
                <c:pt idx="44">
                  <c:v>2.6003794014568147</c:v>
                </c:pt>
                <c:pt idx="45">
                  <c:v>2.6210952331771007</c:v>
                </c:pt>
                <c:pt idx="46">
                  <c:v>2.6402641712821362</c:v>
                </c:pt>
                <c:pt idx="47">
                  <c:v>2.6580529984328014</c:v>
                </c:pt>
                <c:pt idx="48">
                  <c:v>2.6746056491608172</c:v>
                </c:pt>
                <c:pt idx="49">
                  <c:v>2.6900469084474459</c:v>
                </c:pt>
                <c:pt idx="50">
                  <c:v>2.7044854363650073</c:v>
                </c:pt>
                <c:pt idx="51">
                  <c:v>2.7180162518750741</c:v>
                </c:pt>
                <c:pt idx="52">
                  <c:v>2.730722781402152</c:v>
                </c:pt>
                <c:pt idx="53">
                  <c:v>2.7426785559869811</c:v>
                </c:pt>
                <c:pt idx="54">
                  <c:v>2.7539486236044901</c:v>
                </c:pt>
                <c:pt idx="55">
                  <c:v>2.764590729675179</c:v>
                </c:pt>
                <c:pt idx="56">
                  <c:v>2.7746563081308295</c:v>
                </c:pt>
                <c:pt idx="57">
                  <c:v>2.7841913169919001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833-4819-86C0-AA8508B7C361}"/>
            </c:ext>
          </c:extLst>
        </c:ser>
        <c:ser>
          <c:idx val="5"/>
          <c:order val="5"/>
          <c:tx>
            <c:strRef>
              <c:f>'csillapitott gerjesztett rezgés'!$O$10</c:f>
              <c:strCache>
                <c:ptCount val="1"/>
                <c:pt idx="0">
                  <c:v>F1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'csillapitott gerjesztett rezgés'!$A$11:$A$68</c:f>
              <c:numCache>
                <c:formatCode>General</c:formatCode>
                <c:ptCount val="58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0.91</c:v>
                </c:pt>
                <c:pt idx="11">
                  <c:v>0.92</c:v>
                </c:pt>
                <c:pt idx="12">
                  <c:v>0.93</c:v>
                </c:pt>
                <c:pt idx="13">
                  <c:v>0.94</c:v>
                </c:pt>
                <c:pt idx="14">
                  <c:v>0.95</c:v>
                </c:pt>
                <c:pt idx="15">
                  <c:v>0.96</c:v>
                </c:pt>
                <c:pt idx="16">
                  <c:v>0.97</c:v>
                </c:pt>
                <c:pt idx="17">
                  <c:v>0.98</c:v>
                </c:pt>
                <c:pt idx="18">
                  <c:v>0.99</c:v>
                </c:pt>
                <c:pt idx="19">
                  <c:v>1.01</c:v>
                </c:pt>
                <c:pt idx="20">
                  <c:v>1.02</c:v>
                </c:pt>
                <c:pt idx="21">
                  <c:v>1.03</c:v>
                </c:pt>
                <c:pt idx="22">
                  <c:v>1.04</c:v>
                </c:pt>
                <c:pt idx="23">
                  <c:v>1.05</c:v>
                </c:pt>
                <c:pt idx="24">
                  <c:v>1.06</c:v>
                </c:pt>
                <c:pt idx="25">
                  <c:v>1.07</c:v>
                </c:pt>
                <c:pt idx="26">
                  <c:v>1.08</c:v>
                </c:pt>
                <c:pt idx="27">
                  <c:v>1.0900000000000001</c:v>
                </c:pt>
                <c:pt idx="28">
                  <c:v>1.1000000000000001</c:v>
                </c:pt>
                <c:pt idx="29">
                  <c:v>1.2</c:v>
                </c:pt>
                <c:pt idx="30">
                  <c:v>1.3</c:v>
                </c:pt>
                <c:pt idx="31">
                  <c:v>1.4</c:v>
                </c:pt>
                <c:pt idx="32">
                  <c:v>1.5</c:v>
                </c:pt>
                <c:pt idx="33">
                  <c:v>1.6</c:v>
                </c:pt>
                <c:pt idx="34">
                  <c:v>1.7</c:v>
                </c:pt>
                <c:pt idx="35">
                  <c:v>1.8</c:v>
                </c:pt>
                <c:pt idx="36">
                  <c:v>1.9</c:v>
                </c:pt>
                <c:pt idx="37">
                  <c:v>2</c:v>
                </c:pt>
                <c:pt idx="38">
                  <c:v>2.1</c:v>
                </c:pt>
                <c:pt idx="39">
                  <c:v>2.2000000000000002</c:v>
                </c:pt>
                <c:pt idx="40">
                  <c:v>2.2999999999999998</c:v>
                </c:pt>
                <c:pt idx="41">
                  <c:v>2.4</c:v>
                </c:pt>
                <c:pt idx="42">
                  <c:v>2.5</c:v>
                </c:pt>
                <c:pt idx="43">
                  <c:v>2.6</c:v>
                </c:pt>
                <c:pt idx="44">
                  <c:v>2.7</c:v>
                </c:pt>
                <c:pt idx="45">
                  <c:v>2.8</c:v>
                </c:pt>
                <c:pt idx="46">
                  <c:v>2.9</c:v>
                </c:pt>
                <c:pt idx="47">
                  <c:v>3</c:v>
                </c:pt>
                <c:pt idx="48">
                  <c:v>3.1</c:v>
                </c:pt>
                <c:pt idx="49">
                  <c:v>3.2</c:v>
                </c:pt>
                <c:pt idx="50">
                  <c:v>3.3</c:v>
                </c:pt>
                <c:pt idx="51">
                  <c:v>3.4</c:v>
                </c:pt>
                <c:pt idx="52">
                  <c:v>3.5</c:v>
                </c:pt>
                <c:pt idx="53">
                  <c:v>3.6</c:v>
                </c:pt>
                <c:pt idx="54">
                  <c:v>3.7</c:v>
                </c:pt>
                <c:pt idx="55">
                  <c:v>3.8</c:v>
                </c:pt>
                <c:pt idx="56">
                  <c:v>3.9</c:v>
                </c:pt>
                <c:pt idx="57">
                  <c:v>4</c:v>
                </c:pt>
              </c:numCache>
            </c:numRef>
          </c:xVal>
          <c:yVal>
            <c:numRef>
              <c:f>'csillapitott gerjesztett rezgés'!$O$11:$O$68</c:f>
              <c:numCache>
                <c:formatCode>General</c:formatCode>
                <c:ptCount val="58"/>
                <c:pt idx="0">
                  <c:v>0</c:v>
                </c:pt>
                <c:pt idx="1">
                  <c:v>0.19933730498232408</c:v>
                </c:pt>
                <c:pt idx="2">
                  <c:v>0.39479111969976155</c:v>
                </c:pt>
                <c:pt idx="3">
                  <c:v>0.5829135889557342</c:v>
                </c:pt>
                <c:pt idx="4">
                  <c:v>0.7610127542247298</c:v>
                </c:pt>
                <c:pt idx="5">
                  <c:v>0.92729521800161219</c:v>
                </c:pt>
                <c:pt idx="6">
                  <c:v>1.0808390005411683</c:v>
                </c:pt>
                <c:pt idx="7">
                  <c:v>1.2214519287784171</c:v>
                </c:pt>
                <c:pt idx="8">
                  <c:v>1.3494818844471055</c:v>
                </c:pt>
                <c:pt idx="9">
                  <c:v>1.4656302035730133</c:v>
                </c:pt>
                <c:pt idx="10">
                  <c:v>1.4766251450344561</c:v>
                </c:pt>
                <c:pt idx="11">
                  <c:v>1.4875111685977198</c:v>
                </c:pt>
                <c:pt idx="12">
                  <c:v>1.4982892492120345</c:v>
                </c:pt>
                <c:pt idx="13">
                  <c:v>1.5089603676688113</c:v>
                </c:pt>
                <c:pt idx="14">
                  <c:v>1.5195255097515417</c:v>
                </c:pt>
                <c:pt idx="15">
                  <c:v>1.5299856654218205</c:v>
                </c:pt>
                <c:pt idx="16">
                  <c:v>1.540341828040662</c:v>
                </c:pt>
                <c:pt idx="17">
                  <c:v>1.5505949936242527</c:v>
                </c:pt>
                <c:pt idx="18">
                  <c:v>1.5607461601332717</c:v>
                </c:pt>
                <c:pt idx="19">
                  <c:v>1.5806538398668117</c:v>
                </c:pt>
                <c:pt idx="20">
                  <c:v>1.5905050063810806</c:v>
                </c:pt>
                <c:pt idx="21">
                  <c:v>1.6002581720200881</c:v>
                </c:pt>
                <c:pt idx="22">
                  <c:v>1.6099143349195131</c:v>
                </c:pt>
                <c:pt idx="23">
                  <c:v>1.6194744915505406</c:v>
                </c:pt>
                <c:pt idx="24">
                  <c:v>1.6289396362191815</c:v>
                </c:pt>
                <c:pt idx="25">
                  <c:v>1.6383107605920137</c:v>
                </c:pt>
                <c:pt idx="26">
                  <c:v>1.6475888532474796</c:v>
                </c:pt>
                <c:pt idx="27">
                  <c:v>1.6567748992518585</c:v>
                </c:pt>
                <c:pt idx="28">
                  <c:v>1.6658698797590705</c:v>
                </c:pt>
                <c:pt idx="29">
                  <c:v>1.7520234476065937</c:v>
                </c:pt>
                <c:pt idx="30">
                  <c:v>1.8301087475169278</c:v>
                </c:pt>
                <c:pt idx="31">
                  <c:v>1.9010010280343572</c:v>
                </c:pt>
                <c:pt idx="32">
                  <c:v>1.9654947929048652</c:v>
                </c:pt>
                <c:pt idx="33">
                  <c:v>2.0243013693128757</c:v>
                </c:pt>
                <c:pt idx="34">
                  <c:v>2.0780518654823892</c:v>
                </c:pt>
                <c:pt idx="35">
                  <c:v>2.1273029912153261</c:v>
                </c:pt>
                <c:pt idx="36">
                  <c:v>2.1725441419259539</c:v>
                </c:pt>
                <c:pt idx="37">
                  <c:v>2.2142047819983879</c:v>
                </c:pt>
                <c:pt idx="38">
                  <c:v>2.2526615801978025</c:v>
                </c:pt>
                <c:pt idx="39">
                  <c:v>2.288245013746248</c:v>
                </c:pt>
                <c:pt idx="40">
                  <c:v>2.3212453189170184</c:v>
                </c:pt>
                <c:pt idx="41">
                  <c:v>2.3519177606004771</c:v>
                </c:pt>
                <c:pt idx="42">
                  <c:v>2.3804872457752704</c:v>
                </c:pt>
                <c:pt idx="43">
                  <c:v>2.407152332363562</c:v>
                </c:pt>
                <c:pt idx="44">
                  <c:v>2.4320886959781198</c:v>
                </c:pt>
                <c:pt idx="45">
                  <c:v>2.4554521191585934</c:v>
                </c:pt>
                <c:pt idx="46">
                  <c:v>2.4773810649142294</c:v>
                </c:pt>
                <c:pt idx="47">
                  <c:v>2.4979988912067159</c:v>
                </c:pt>
                <c:pt idx="48">
                  <c:v>2.5174157568749336</c:v>
                </c:pt>
                <c:pt idx="49">
                  <c:v>2.5357302632500573</c:v>
                </c:pt>
                <c:pt idx="50">
                  <c:v>2.5530308697776247</c:v>
                </c:pt>
                <c:pt idx="51">
                  <c:v>2.5693971165653635</c:v>
                </c:pt>
                <c:pt idx="52">
                  <c:v>2.5849006819897777</c:v>
                </c:pt>
                <c:pt idx="53">
                  <c:v>2.5996062993231592</c:v>
                </c:pt>
                <c:pt idx="54">
                  <c:v>2.6135725527485913</c:v>
                </c:pt>
                <c:pt idx="55">
                  <c:v>2.6268525700578227</c:v>
                </c:pt>
                <c:pt idx="56">
                  <c:v>2.639494626713931</c:v>
                </c:pt>
                <c:pt idx="57">
                  <c:v>2.6515426737462717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9833-4819-86C0-AA8508B7C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1015928"/>
        <c:axId val="1"/>
      </c:scatterChart>
      <c:valAx>
        <c:axId val="291015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u-HU"/>
                  <a:t>omega/alfa</a:t>
                </a:r>
              </a:p>
            </c:rich>
          </c:tx>
          <c:layout>
            <c:manualLayout>
              <c:xMode val="edge"/>
              <c:yMode val="edge"/>
              <c:x val="0.40928358638714463"/>
              <c:y val="0.873755547998360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u-HU"/>
                  <a:t>fazissszog [radian]</a:t>
                </a:r>
              </a:p>
            </c:rich>
          </c:tx>
          <c:layout>
            <c:manualLayout>
              <c:xMode val="edge"/>
              <c:yMode val="edge"/>
              <c:x val="3.3755274261603373E-2"/>
              <c:y val="0.262458820554407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29101592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07612656012934"/>
          <c:y val="0.25249204314576956"/>
          <c:w val="0.12236309068961315"/>
          <c:h val="0.421927607886223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Adott D értékhez tartozó nagyítás (N) és fázisszög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3713108968428556"/>
          <c:y val="0.16354929910288543"/>
          <c:w val="0.62025444244141126"/>
          <c:h val="0.6843864922694084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'csillapitott gerjesztett rezgés'!$B$10</c:f>
              <c:strCache>
                <c:ptCount val="1"/>
                <c:pt idx="0">
                  <c:v>N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'csillapitott gerjesztett rezgés'!$A$11:$A$78</c:f>
              <c:numCache>
                <c:formatCode>General</c:formatCode>
                <c:ptCount val="68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0.91</c:v>
                </c:pt>
                <c:pt idx="11">
                  <c:v>0.92</c:v>
                </c:pt>
                <c:pt idx="12">
                  <c:v>0.93</c:v>
                </c:pt>
                <c:pt idx="13">
                  <c:v>0.94</c:v>
                </c:pt>
                <c:pt idx="14">
                  <c:v>0.95</c:v>
                </c:pt>
                <c:pt idx="15">
                  <c:v>0.96</c:v>
                </c:pt>
                <c:pt idx="16">
                  <c:v>0.97</c:v>
                </c:pt>
                <c:pt idx="17">
                  <c:v>0.98</c:v>
                </c:pt>
                <c:pt idx="18">
                  <c:v>0.99</c:v>
                </c:pt>
                <c:pt idx="19">
                  <c:v>1.01</c:v>
                </c:pt>
                <c:pt idx="20">
                  <c:v>1.02</c:v>
                </c:pt>
                <c:pt idx="21">
                  <c:v>1.03</c:v>
                </c:pt>
                <c:pt idx="22">
                  <c:v>1.04</c:v>
                </c:pt>
                <c:pt idx="23">
                  <c:v>1.05</c:v>
                </c:pt>
                <c:pt idx="24">
                  <c:v>1.06</c:v>
                </c:pt>
                <c:pt idx="25">
                  <c:v>1.07</c:v>
                </c:pt>
                <c:pt idx="26">
                  <c:v>1.08</c:v>
                </c:pt>
                <c:pt idx="27">
                  <c:v>1.0900000000000001</c:v>
                </c:pt>
                <c:pt idx="28">
                  <c:v>1.1000000000000001</c:v>
                </c:pt>
                <c:pt idx="29">
                  <c:v>1.2</c:v>
                </c:pt>
                <c:pt idx="30">
                  <c:v>1.3</c:v>
                </c:pt>
                <c:pt idx="31">
                  <c:v>1.4</c:v>
                </c:pt>
                <c:pt idx="32">
                  <c:v>1.5</c:v>
                </c:pt>
                <c:pt idx="33">
                  <c:v>1.6</c:v>
                </c:pt>
                <c:pt idx="34">
                  <c:v>1.7</c:v>
                </c:pt>
                <c:pt idx="35">
                  <c:v>1.8</c:v>
                </c:pt>
                <c:pt idx="36">
                  <c:v>1.9</c:v>
                </c:pt>
                <c:pt idx="37">
                  <c:v>2</c:v>
                </c:pt>
                <c:pt idx="38">
                  <c:v>2.1</c:v>
                </c:pt>
                <c:pt idx="39">
                  <c:v>2.2000000000000002</c:v>
                </c:pt>
                <c:pt idx="40">
                  <c:v>2.2999999999999998</c:v>
                </c:pt>
                <c:pt idx="41">
                  <c:v>2.4</c:v>
                </c:pt>
                <c:pt idx="42">
                  <c:v>2.5</c:v>
                </c:pt>
                <c:pt idx="43">
                  <c:v>2.6</c:v>
                </c:pt>
                <c:pt idx="44">
                  <c:v>2.7</c:v>
                </c:pt>
                <c:pt idx="45">
                  <c:v>2.8</c:v>
                </c:pt>
                <c:pt idx="46">
                  <c:v>2.9</c:v>
                </c:pt>
                <c:pt idx="47">
                  <c:v>3</c:v>
                </c:pt>
                <c:pt idx="48">
                  <c:v>3.1</c:v>
                </c:pt>
                <c:pt idx="49">
                  <c:v>3.2</c:v>
                </c:pt>
                <c:pt idx="50">
                  <c:v>3.3</c:v>
                </c:pt>
                <c:pt idx="51">
                  <c:v>3.4</c:v>
                </c:pt>
                <c:pt idx="52">
                  <c:v>3.5</c:v>
                </c:pt>
                <c:pt idx="53">
                  <c:v>3.6</c:v>
                </c:pt>
                <c:pt idx="54">
                  <c:v>3.7</c:v>
                </c:pt>
                <c:pt idx="55">
                  <c:v>3.8</c:v>
                </c:pt>
                <c:pt idx="56">
                  <c:v>3.9</c:v>
                </c:pt>
                <c:pt idx="57">
                  <c:v>4</c:v>
                </c:pt>
                <c:pt idx="58">
                  <c:v>4.0999999999999996</c:v>
                </c:pt>
                <c:pt idx="59">
                  <c:v>4.2</c:v>
                </c:pt>
                <c:pt idx="60">
                  <c:v>4.3</c:v>
                </c:pt>
                <c:pt idx="61">
                  <c:v>4.4000000000000004</c:v>
                </c:pt>
                <c:pt idx="62">
                  <c:v>4.5</c:v>
                </c:pt>
                <c:pt idx="63">
                  <c:v>4.5999999999999996</c:v>
                </c:pt>
                <c:pt idx="64">
                  <c:v>4.7</c:v>
                </c:pt>
                <c:pt idx="65">
                  <c:v>4.8</c:v>
                </c:pt>
                <c:pt idx="66">
                  <c:v>4.9000000000000004</c:v>
                </c:pt>
                <c:pt idx="67">
                  <c:v>5</c:v>
                </c:pt>
              </c:numCache>
            </c:numRef>
          </c:xVal>
          <c:yVal>
            <c:numRef>
              <c:f>'csillapitott gerjesztett rezgés'!$B$11:$B$78</c:f>
              <c:numCache>
                <c:formatCode>General</c:formatCode>
                <c:ptCount val="68"/>
                <c:pt idx="0">
                  <c:v>1</c:v>
                </c:pt>
                <c:pt idx="1">
                  <c:v>0.9957270612073994</c:v>
                </c:pt>
                <c:pt idx="2">
                  <c:v>0.9826597542076988</c:v>
                </c:pt>
                <c:pt idx="3">
                  <c:v>0.96020388881718943</c:v>
                </c:pt>
                <c:pt idx="4">
                  <c:v>0.92783085526229747</c:v>
                </c:pt>
                <c:pt idx="5">
                  <c:v>0.88560650409815123</c:v>
                </c:pt>
                <c:pt idx="6">
                  <c:v>0.83459930485824418</c:v>
                </c:pt>
                <c:pt idx="7">
                  <c:v>0.77693550973565384</c:v>
                </c:pt>
                <c:pt idx="8">
                  <c:v>0.71544344608736365</c:v>
                </c:pt>
                <c:pt idx="9">
                  <c:v>0.65306796068028017</c:v>
                </c:pt>
                <c:pt idx="10">
                  <c:v>0.64688485893021941</c:v>
                </c:pt>
                <c:pt idx="11">
                  <c:v>0.64072100943342236</c:v>
                </c:pt>
                <c:pt idx="12">
                  <c:v>0.63457851173157076</c:v>
                </c:pt>
                <c:pt idx="13">
                  <c:v>0.62845938794622491</c:v>
                </c:pt>
                <c:pt idx="14">
                  <c:v>0.62236558203940529</c:v>
                </c:pt>
                <c:pt idx="15">
                  <c:v>0.61629895932438872</c:v>
                </c:pt>
                <c:pt idx="16">
                  <c:v>0.61026130621487973</c:v>
                </c:pt>
                <c:pt idx="17">
                  <c:v>0.60425433020018438</c:v>
                </c:pt>
                <c:pt idx="18">
                  <c:v>0.59827966003361677</c:v>
                </c:pt>
                <c:pt idx="19">
                  <c:v>0.58643336109661082</c:v>
                </c:pt>
                <c:pt idx="20">
                  <c:v>0.58056460057155845</c:v>
                </c:pt>
                <c:pt idx="21">
                  <c:v>0.57473388404419812</c:v>
                </c:pt>
                <c:pt idx="22">
                  <c:v>0.56894245595656912</c:v>
                </c:pt>
                <c:pt idx="23">
                  <c:v>0.56319148688562382</c:v>
                </c:pt>
                <c:pt idx="24">
                  <c:v>0.55748207485597978</c:v>
                </c:pt>
                <c:pt idx="25">
                  <c:v>0.55181524676191107</c:v>
                </c:pt>
                <c:pt idx="26">
                  <c:v>0.54619195988658409</c:v>
                </c:pt>
                <c:pt idx="27">
                  <c:v>0.54061310350696323</c:v>
                </c:pt>
                <c:pt idx="28">
                  <c:v>0.53507950057327058</c:v>
                </c:pt>
                <c:pt idx="29">
                  <c:v>0.48236965669329296</c:v>
                </c:pt>
                <c:pt idx="30">
                  <c:v>0.4346691024730473</c:v>
                </c:pt>
                <c:pt idx="31">
                  <c:v>0.39199746757903697</c:v>
                </c:pt>
                <c:pt idx="32">
                  <c:v>0.35410229389183395</c:v>
                </c:pt>
                <c:pt idx="33">
                  <c:v>0.32058780028855888</c:v>
                </c:pt>
                <c:pt idx="34">
                  <c:v>0.29100179240570184</c:v>
                </c:pt>
                <c:pt idx="35">
                  <c:v>0.26488869407394761</c:v>
                </c:pt>
                <c:pt idx="36">
                  <c:v>0.24181871030345189</c:v>
                </c:pt>
                <c:pt idx="37">
                  <c:v>0.22140162602453781</c:v>
                </c:pt>
                <c:pt idx="38">
                  <c:v>0.20329140012766686</c:v>
                </c:pt>
                <c:pt idx="39">
                  <c:v>0.18718562943091774</c:v>
                </c:pt>
                <c:pt idx="40">
                  <c:v>0.17282241587553518</c:v>
                </c:pt>
                <c:pt idx="41">
                  <c:v>0.15997613377997361</c:v>
                </c:pt>
                <c:pt idx="42">
                  <c:v>0.14845293684196759</c:v>
                </c:pt>
                <c:pt idx="43">
                  <c:v>0.13808644528856456</c:v>
                </c:pt>
                <c:pt idx="44">
                  <c:v>0.1287338196484413</c:v>
                </c:pt>
                <c:pt idx="45">
                  <c:v>0.12027229571787981</c:v>
                </c:pt>
                <c:pt idx="46">
                  <c:v>0.11259618450219855</c:v>
                </c:pt>
                <c:pt idx="47">
                  <c:v>0.10561430577360789</c:v>
                </c:pt>
                <c:pt idx="48">
                  <c:v>9.9247808949154526E-2</c:v>
                </c:pt>
                <c:pt idx="49">
                  <c:v>9.3428331083328015E-2</c:v>
                </c:pt>
                <c:pt idx="50">
                  <c:v>8.8096443544498193E-2</c:v>
                </c:pt>
                <c:pt idx="51">
                  <c:v>8.3200343357793222E-2</c:v>
                </c:pt>
                <c:pt idx="52">
                  <c:v>7.8694750564615584E-2</c:v>
                </c:pt>
                <c:pt idx="53">
                  <c:v>7.4539978378682856E-2</c:v>
                </c:pt>
                <c:pt idx="54">
                  <c:v>7.070114797223763E-2</c:v>
                </c:pt>
                <c:pt idx="55">
                  <c:v>6.7147524219908328E-2</c:v>
                </c:pt>
                <c:pt idx="56">
                  <c:v>6.3851952614989105E-2</c:v>
                </c:pt>
                <c:pt idx="57">
                  <c:v>6.0790380877142412E-2</c:v>
                </c:pt>
                <c:pt idx="58">
                  <c:v>5.794145154737193E-2</c:v>
                </c:pt>
                <c:pt idx="59">
                  <c:v>5.5286154182510504E-2</c:v>
                </c:pt>
                <c:pt idx="60">
                  <c:v>5.2807527684665179E-2</c:v>
                </c:pt>
                <c:pt idx="61">
                  <c:v>5.049040489328236E-2</c:v>
                </c:pt>
                <c:pt idx="62">
                  <c:v>4.8321192883748594E-2</c:v>
                </c:pt>
                <c:pt idx="63">
                  <c:v>4.6287683504018989E-2</c:v>
                </c:pt>
                <c:pt idx="64">
                  <c:v>4.4378889579612252E-2</c:v>
                </c:pt>
                <c:pt idx="65">
                  <c:v>4.2584902960759688E-2</c:v>
                </c:pt>
                <c:pt idx="66">
                  <c:v>4.0896771201150151E-2</c:v>
                </c:pt>
                <c:pt idx="67">
                  <c:v>3.9306390168307954E-2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B7-474D-BB03-C6DBAC02589D}"/>
            </c:ext>
          </c:extLst>
        </c:ser>
        <c:ser>
          <c:idx val="1"/>
          <c:order val="1"/>
          <c:tx>
            <c:strRef>
              <c:f>'csillapitott gerjesztett rezgés'!$C$10</c:f>
              <c:strCache>
                <c:ptCount val="1"/>
                <c:pt idx="0">
                  <c:v>fazisszog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'csillapitott gerjesztett rezgés'!$A$11:$A$78</c:f>
              <c:numCache>
                <c:formatCode>General</c:formatCode>
                <c:ptCount val="68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0.91</c:v>
                </c:pt>
                <c:pt idx="11">
                  <c:v>0.92</c:v>
                </c:pt>
                <c:pt idx="12">
                  <c:v>0.93</c:v>
                </c:pt>
                <c:pt idx="13">
                  <c:v>0.94</c:v>
                </c:pt>
                <c:pt idx="14">
                  <c:v>0.95</c:v>
                </c:pt>
                <c:pt idx="15">
                  <c:v>0.96</c:v>
                </c:pt>
                <c:pt idx="16">
                  <c:v>0.97</c:v>
                </c:pt>
                <c:pt idx="17">
                  <c:v>0.98</c:v>
                </c:pt>
                <c:pt idx="18">
                  <c:v>0.99</c:v>
                </c:pt>
                <c:pt idx="19">
                  <c:v>1.01</c:v>
                </c:pt>
                <c:pt idx="20">
                  <c:v>1.02</c:v>
                </c:pt>
                <c:pt idx="21">
                  <c:v>1.03</c:v>
                </c:pt>
                <c:pt idx="22">
                  <c:v>1.04</c:v>
                </c:pt>
                <c:pt idx="23">
                  <c:v>1.05</c:v>
                </c:pt>
                <c:pt idx="24">
                  <c:v>1.06</c:v>
                </c:pt>
                <c:pt idx="25">
                  <c:v>1.07</c:v>
                </c:pt>
                <c:pt idx="26">
                  <c:v>1.08</c:v>
                </c:pt>
                <c:pt idx="27">
                  <c:v>1.0900000000000001</c:v>
                </c:pt>
                <c:pt idx="28">
                  <c:v>1.1000000000000001</c:v>
                </c:pt>
                <c:pt idx="29">
                  <c:v>1.2</c:v>
                </c:pt>
                <c:pt idx="30">
                  <c:v>1.3</c:v>
                </c:pt>
                <c:pt idx="31">
                  <c:v>1.4</c:v>
                </c:pt>
                <c:pt idx="32">
                  <c:v>1.5</c:v>
                </c:pt>
                <c:pt idx="33">
                  <c:v>1.6</c:v>
                </c:pt>
                <c:pt idx="34">
                  <c:v>1.7</c:v>
                </c:pt>
                <c:pt idx="35">
                  <c:v>1.8</c:v>
                </c:pt>
                <c:pt idx="36">
                  <c:v>1.9</c:v>
                </c:pt>
                <c:pt idx="37">
                  <c:v>2</c:v>
                </c:pt>
                <c:pt idx="38">
                  <c:v>2.1</c:v>
                </c:pt>
                <c:pt idx="39">
                  <c:v>2.2000000000000002</c:v>
                </c:pt>
                <c:pt idx="40">
                  <c:v>2.2999999999999998</c:v>
                </c:pt>
                <c:pt idx="41">
                  <c:v>2.4</c:v>
                </c:pt>
                <c:pt idx="42">
                  <c:v>2.5</c:v>
                </c:pt>
                <c:pt idx="43">
                  <c:v>2.6</c:v>
                </c:pt>
                <c:pt idx="44">
                  <c:v>2.7</c:v>
                </c:pt>
                <c:pt idx="45">
                  <c:v>2.8</c:v>
                </c:pt>
                <c:pt idx="46">
                  <c:v>2.9</c:v>
                </c:pt>
                <c:pt idx="47">
                  <c:v>3</c:v>
                </c:pt>
                <c:pt idx="48">
                  <c:v>3.1</c:v>
                </c:pt>
                <c:pt idx="49">
                  <c:v>3.2</c:v>
                </c:pt>
                <c:pt idx="50">
                  <c:v>3.3</c:v>
                </c:pt>
                <c:pt idx="51">
                  <c:v>3.4</c:v>
                </c:pt>
                <c:pt idx="52">
                  <c:v>3.5</c:v>
                </c:pt>
                <c:pt idx="53">
                  <c:v>3.6</c:v>
                </c:pt>
                <c:pt idx="54">
                  <c:v>3.7</c:v>
                </c:pt>
                <c:pt idx="55">
                  <c:v>3.8</c:v>
                </c:pt>
                <c:pt idx="56">
                  <c:v>3.9</c:v>
                </c:pt>
                <c:pt idx="57">
                  <c:v>4</c:v>
                </c:pt>
                <c:pt idx="58">
                  <c:v>4.0999999999999996</c:v>
                </c:pt>
                <c:pt idx="59">
                  <c:v>4.2</c:v>
                </c:pt>
                <c:pt idx="60">
                  <c:v>4.3</c:v>
                </c:pt>
                <c:pt idx="61">
                  <c:v>4.4000000000000004</c:v>
                </c:pt>
                <c:pt idx="62">
                  <c:v>4.5</c:v>
                </c:pt>
                <c:pt idx="63">
                  <c:v>4.5999999999999996</c:v>
                </c:pt>
                <c:pt idx="64">
                  <c:v>4.7</c:v>
                </c:pt>
                <c:pt idx="65">
                  <c:v>4.8</c:v>
                </c:pt>
                <c:pt idx="66">
                  <c:v>4.9000000000000004</c:v>
                </c:pt>
                <c:pt idx="67">
                  <c:v>5</c:v>
                </c:pt>
              </c:numCache>
            </c:numRef>
          </c:xVal>
          <c:yVal>
            <c:numRef>
              <c:f>'csillapitott gerjesztett rezgés'!$C$11:$C$78</c:f>
              <c:numCache>
                <c:formatCode>General</c:formatCode>
                <c:ptCount val="68"/>
                <c:pt idx="0">
                  <c:v>0</c:v>
                </c:pt>
                <c:pt idx="1">
                  <c:v>0.16890285891343135</c:v>
                </c:pt>
                <c:pt idx="2">
                  <c:v>0.33820015271275367</c:v>
                </c:pt>
                <c:pt idx="3">
                  <c:v>0.50786343181014659</c:v>
                </c:pt>
                <c:pt idx="4">
                  <c:v>0.67712398528255791</c:v>
                </c:pt>
                <c:pt idx="5">
                  <c:v>0.84436664834593833</c:v>
                </c:pt>
                <c:pt idx="6">
                  <c:v>1.0073019764013238</c:v>
                </c:pt>
                <c:pt idx="7">
                  <c:v>1.1633814700557716</c:v>
                </c:pt>
                <c:pt idx="8">
                  <c:v>1.3103005431825432</c:v>
                </c:pt>
                <c:pt idx="9">
                  <c:v>1.446392779229476</c:v>
                </c:pt>
                <c:pt idx="10">
                  <c:v>1.4593663651124598</c:v>
                </c:pt>
                <c:pt idx="11">
                  <c:v>1.4722220179301448</c:v>
                </c:pt>
                <c:pt idx="12">
                  <c:v>1.4849594012583731</c:v>
                </c:pt>
                <c:pt idx="13">
                  <c:v>1.4975782526080266</c:v>
                </c:pt>
                <c:pt idx="14">
                  <c:v>1.5100783815961372</c:v>
                </c:pt>
                <c:pt idx="15">
                  <c:v>1.5224596680252229</c:v>
                </c:pt>
                <c:pt idx="16">
                  <c:v>1.5347220598823772</c:v>
                </c:pt>
                <c:pt idx="17">
                  <c:v>1.5468655712692982</c:v>
                </c:pt>
                <c:pt idx="18">
                  <c:v>1.5588902802740465</c:v>
                </c:pt>
                <c:pt idx="19">
                  <c:v>1.5824912567363905</c:v>
                </c:pt>
                <c:pt idx="20">
                  <c:v>1.5941606341257679</c:v>
                </c:pt>
                <c:pt idx="21">
                  <c:v>1.6057121173117941</c:v>
                </c:pt>
                <c:pt idx="22">
                  <c:v>1.6171460710502392</c:v>
                </c:pt>
                <c:pt idx="23">
                  <c:v>1.6284629106369846</c:v>
                </c:pt>
                <c:pt idx="24">
                  <c:v>1.639663099634854</c:v>
                </c:pt>
                <c:pt idx="25">
                  <c:v>1.6507471476111848</c:v>
                </c:pt>
                <c:pt idx="26">
                  <c:v>1.6617156078924247</c:v>
                </c:pt>
                <c:pt idx="27">
                  <c:v>1.6725690753415157</c:v>
                </c:pt>
                <c:pt idx="28">
                  <c:v>1.683308184163324</c:v>
                </c:pt>
                <c:pt idx="29">
                  <c:v>1.7845729977628779</c:v>
                </c:pt>
                <c:pt idx="30">
                  <c:v>1.8753142273523851</c:v>
                </c:pt>
                <c:pt idx="31">
                  <c:v>1.9565221445997361</c:v>
                </c:pt>
                <c:pt idx="32">
                  <c:v>2.0292308146944702</c:v>
                </c:pt>
                <c:pt idx="33">
                  <c:v>2.0944375176026453</c:v>
                </c:pt>
                <c:pt idx="34">
                  <c:v>2.1530599936698356</c:v>
                </c:pt>
                <c:pt idx="35">
                  <c:v>2.2059187771455329</c:v>
                </c:pt>
                <c:pt idx="36">
                  <c:v>2.2537345171038234</c:v>
                </c:pt>
                <c:pt idx="37">
                  <c:v>2.297133351654062</c:v>
                </c:pt>
                <c:pt idx="38">
                  <c:v>2.336655997596059</c:v>
                </c:pt>
                <c:pt idx="39">
                  <c:v>2.3727680363834551</c:v>
                </c:pt>
                <c:pt idx="40">
                  <c:v>2.4058700414275398</c:v>
                </c:pt>
                <c:pt idx="41">
                  <c:v>2.4363068916098354</c:v>
                </c:pt>
                <c:pt idx="42">
                  <c:v>2.4643760147174421</c:v>
                </c:pt>
                <c:pt idx="43">
                  <c:v>2.4903345191473054</c:v>
                </c:pt>
                <c:pt idx="44">
                  <c:v>2.5144052788737499</c:v>
                </c:pt>
                <c:pt idx="45">
                  <c:v>2.5367820824562659</c:v>
                </c:pt>
                <c:pt idx="46">
                  <c:v>2.557633969827632</c:v>
                </c:pt>
                <c:pt idx="47">
                  <c:v>2.5771088769392709</c:v>
                </c:pt>
                <c:pt idx="48">
                  <c:v>2.5953366971275487</c:v>
                </c:pt>
                <c:pt idx="49">
                  <c:v>2.6124318542125406</c:v>
                </c:pt>
                <c:pt idx="50">
                  <c:v>2.6284954683761592</c:v>
                </c:pt>
                <c:pt idx="51">
                  <c:v>2.6436171829821058</c:v>
                </c:pt>
                <c:pt idx="52">
                  <c:v>2.6578767091637436</c:v>
                </c:pt>
                <c:pt idx="53">
                  <c:v>2.6713451353075754</c:v>
                </c:pt>
                <c:pt idx="54">
                  <c:v>2.6840860404058424</c:v>
                </c:pt>
                <c:pt idx="55">
                  <c:v>2.696156443470588</c:v>
                </c:pt>
                <c:pt idx="56">
                  <c:v>2.7076076156003634</c:v>
                </c:pt>
                <c:pt idx="57">
                  <c:v>2.7184857766828983</c:v>
                </c:pt>
                <c:pt idx="58">
                  <c:v>2.7288326949342996</c:v>
                </c:pt>
                <c:pt idx="59">
                  <c:v>2.7386862043722209</c:v>
                </c:pt>
                <c:pt idx="60">
                  <c:v>2.7480806527742376</c:v>
                </c:pt>
                <c:pt idx="61">
                  <c:v>2.7570472905814123</c:v>
                </c:pt>
                <c:pt idx="62">
                  <c:v>2.7656146094868692</c:v>
                </c:pt>
                <c:pt idx="63">
                  <c:v>2.7738086380316727</c:v>
                </c:pt>
                <c:pt idx="64">
                  <c:v>2.7816532003595897</c:v>
                </c:pt>
                <c:pt idx="65">
                  <c:v>2.7891701433132696</c:v>
                </c:pt>
                <c:pt idx="66">
                  <c:v>2.7963795362501411</c:v>
                </c:pt>
                <c:pt idx="67">
                  <c:v>2.8032998472872466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B7-474D-BB03-C6DBAC025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1011664"/>
        <c:axId val="1"/>
      </c:scatterChart>
      <c:valAx>
        <c:axId val="291011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u-HU"/>
                  <a:t>omega/alfa</a:t>
                </a:r>
              </a:p>
            </c:rich>
          </c:tx>
          <c:layout>
            <c:manualLayout>
              <c:xMode val="edge"/>
              <c:yMode val="edge"/>
              <c:x val="0.36708927206883946"/>
              <c:y val="0.87375547509937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u-HU"/>
                  <a:t>nagyitas</a:t>
                </a:r>
              </a:p>
            </c:rich>
          </c:tx>
          <c:layout>
            <c:manualLayout>
              <c:xMode val="edge"/>
              <c:yMode val="edge"/>
              <c:x val="3.3755274261603373E-2"/>
              <c:y val="0.335548860250989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29101166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114079094543566"/>
          <c:y val="0.35880463495117776"/>
          <c:w val="0.19198356534547101"/>
          <c:h val="0.142857432210041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y</a:t>
            </a:r>
            <a:r>
              <a:rPr lang="hu-HU"/>
              <a:t>  kitérés - idő görbe</a:t>
            </a:r>
            <a:endParaRPr lang="en-US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'csillapitott gerjesztett rezgés'!$Z$9</c:f>
              <c:strCache>
                <c:ptCount val="1"/>
                <c:pt idx="0">
                  <c:v>y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'csillapitott gerjesztett rezgés'!$Y$10:$Y$56</c:f>
              <c:numCache>
                <c:formatCode>General</c:formatCode>
                <c:ptCount val="47"/>
                <c:pt idx="0">
                  <c:v>0</c:v>
                </c:pt>
                <c:pt idx="1">
                  <c:v>5.0000000000000001E-3</c:v>
                </c:pt>
                <c:pt idx="2">
                  <c:v>0.01</c:v>
                </c:pt>
                <c:pt idx="3">
                  <c:v>1.4999999999999999E-2</c:v>
                </c:pt>
                <c:pt idx="4">
                  <c:v>0.02</c:v>
                </c:pt>
                <c:pt idx="5">
                  <c:v>2.5000000000000001E-2</c:v>
                </c:pt>
                <c:pt idx="6">
                  <c:v>0.03</c:v>
                </c:pt>
                <c:pt idx="7">
                  <c:v>3.5000000000000003E-2</c:v>
                </c:pt>
                <c:pt idx="8">
                  <c:v>0.04</c:v>
                </c:pt>
                <c:pt idx="9">
                  <c:v>4.4999999999999998E-2</c:v>
                </c:pt>
                <c:pt idx="10">
                  <c:v>0.05</c:v>
                </c:pt>
                <c:pt idx="11">
                  <c:v>5.5E-2</c:v>
                </c:pt>
                <c:pt idx="12">
                  <c:v>0.06</c:v>
                </c:pt>
                <c:pt idx="13">
                  <c:v>6.5000000000000002E-2</c:v>
                </c:pt>
                <c:pt idx="14">
                  <c:v>7.0000000000000007E-2</c:v>
                </c:pt>
                <c:pt idx="15">
                  <c:v>7.4999999999999997E-2</c:v>
                </c:pt>
                <c:pt idx="16">
                  <c:v>0.08</c:v>
                </c:pt>
                <c:pt idx="17">
                  <c:v>8.5000000000000006E-2</c:v>
                </c:pt>
                <c:pt idx="18">
                  <c:v>0.09</c:v>
                </c:pt>
                <c:pt idx="19">
                  <c:v>9.5000000000000001E-2</c:v>
                </c:pt>
                <c:pt idx="20">
                  <c:v>0.1</c:v>
                </c:pt>
                <c:pt idx="21">
                  <c:v>0.105</c:v>
                </c:pt>
                <c:pt idx="22">
                  <c:v>0.11</c:v>
                </c:pt>
                <c:pt idx="23">
                  <c:v>0.115</c:v>
                </c:pt>
                <c:pt idx="24">
                  <c:v>0.12</c:v>
                </c:pt>
                <c:pt idx="25">
                  <c:v>0.125</c:v>
                </c:pt>
                <c:pt idx="26">
                  <c:v>0.13</c:v>
                </c:pt>
                <c:pt idx="27">
                  <c:v>0.13500000000000001</c:v>
                </c:pt>
                <c:pt idx="28">
                  <c:v>0.14000000000000001</c:v>
                </c:pt>
                <c:pt idx="29">
                  <c:v>0.14499999999999999</c:v>
                </c:pt>
                <c:pt idx="30">
                  <c:v>0.15</c:v>
                </c:pt>
                <c:pt idx="31">
                  <c:v>0.155</c:v>
                </c:pt>
                <c:pt idx="32">
                  <c:v>0.16</c:v>
                </c:pt>
                <c:pt idx="33">
                  <c:v>0.16500000000000001</c:v>
                </c:pt>
                <c:pt idx="34">
                  <c:v>0.17</c:v>
                </c:pt>
                <c:pt idx="35">
                  <c:v>0.17499999999999999</c:v>
                </c:pt>
                <c:pt idx="36">
                  <c:v>0.18</c:v>
                </c:pt>
                <c:pt idx="37">
                  <c:v>0.185</c:v>
                </c:pt>
                <c:pt idx="38">
                  <c:v>0.19</c:v>
                </c:pt>
                <c:pt idx="39">
                  <c:v>0.19500000000000001</c:v>
                </c:pt>
                <c:pt idx="40">
                  <c:v>0.2</c:v>
                </c:pt>
                <c:pt idx="41">
                  <c:v>0.20499999999999999</c:v>
                </c:pt>
                <c:pt idx="42">
                  <c:v>0.21</c:v>
                </c:pt>
                <c:pt idx="43">
                  <c:v>0.215</c:v>
                </c:pt>
                <c:pt idx="44">
                  <c:v>0.22</c:v>
                </c:pt>
                <c:pt idx="45">
                  <c:v>0.22500000000000001</c:v>
                </c:pt>
                <c:pt idx="46">
                  <c:v>0.23</c:v>
                </c:pt>
              </c:numCache>
            </c:numRef>
          </c:xVal>
          <c:yVal>
            <c:numRef>
              <c:f>'csillapitott gerjesztett rezgés'!$Z$10:$Z$100</c:f>
              <c:numCache>
                <c:formatCode>General</c:formatCode>
                <c:ptCount val="91"/>
                <c:pt idx="0">
                  <c:v>0.14056542692265248</c:v>
                </c:pt>
                <c:pt idx="1">
                  <c:v>0.13707345614932437</c:v>
                </c:pt>
                <c:pt idx="2">
                  <c:v>0.13323887312209895</c:v>
                </c:pt>
                <c:pt idx="3">
                  <c:v>0.12907126230153201</c:v>
                </c:pt>
                <c:pt idx="4">
                  <c:v>0.12458104054422524</c:v>
                </c:pt>
                <c:pt idx="5">
                  <c:v>0.11977943106610957</c:v>
                </c:pt>
                <c:pt idx="6">
                  <c:v>0.11467843539025045</c:v>
                </c:pt>
                <c:pt idx="7">
                  <c:v>0.10929080334929035</c:v>
                </c:pt>
                <c:pt idx="8">
                  <c:v>0.10363000121750711</c:v>
                </c:pt>
                <c:pt idx="9">
                  <c:v>9.7710178052141453E-2</c:v>
                </c:pt>
                <c:pt idx="10">
                  <c:v>9.1546130328122463E-2</c:v>
                </c:pt>
                <c:pt idx="11">
                  <c:v>8.5153264954586194E-2</c:v>
                </c:pt>
                <c:pt idx="12">
                  <c:v>7.8547560765626592E-2</c:v>
                </c:pt>
                <c:pt idx="13">
                  <c:v>7.1745528581531756E-2</c:v>
                </c:pt>
                <c:pt idx="14">
                  <c:v>6.4764169940332086E-2</c:v>
                </c:pt>
                <c:pt idx="15">
                  <c:v>5.7620934602809308E-2</c:v>
                </c:pt>
                <c:pt idx="16">
                  <c:v>5.0333676937182117E-2</c:v>
                </c:pt>
                <c:pt idx="17">
                  <c:v>4.2920611292484187E-2</c:v>
                </c:pt>
                <c:pt idx="18">
                  <c:v>3.5400266472177339E-2</c:v>
                </c:pt>
                <c:pt idx="19">
                  <c:v>2.7791439421792401E-2</c:v>
                </c:pt>
                <c:pt idx="20">
                  <c:v>2.0113148246354844E-2</c:v>
                </c:pt>
                <c:pt idx="21">
                  <c:v>1.2384584675026513E-2</c:v>
                </c:pt>
                <c:pt idx="22">
                  <c:v>4.6250660917776356E-3</c:v>
                </c:pt>
                <c:pt idx="23">
                  <c:v>-3.1460127480128293E-3</c:v>
                </c:pt>
                <c:pt idx="24">
                  <c:v>-1.0909228194344995E-2</c:v>
                </c:pt>
                <c:pt idx="25">
                  <c:v>-1.8645176251607547E-2</c:v>
                </c:pt>
                <c:pt idx="26">
                  <c:v>-2.6334521078461157E-2</c:v>
                </c:pt>
                <c:pt idx="27">
                  <c:v>-3.3958043317372073E-2</c:v>
                </c:pt>
                <c:pt idx="28">
                  <c:v>-4.1496688132996652E-2</c:v>
                </c:pt>
                <c:pt idx="29">
                  <c:v>-4.8931612839346113E-2</c:v>
                </c:pt>
                <c:pt idx="30">
                  <c:v>-5.6244233996688583E-2</c:v>
                </c:pt>
                <c:pt idx="31">
                  <c:v>-6.3416273860470163E-2</c:v>
                </c:pt>
                <c:pt idx="32">
                  <c:v>-7.0429806066157549E-2</c:v>
                </c:pt>
                <c:pt idx="33">
                  <c:v>-7.7267300435813493E-2</c:v>
                </c:pt>
                <c:pt idx="34">
                  <c:v>-8.3911666794412074E-2</c:v>
                </c:pt>
                <c:pt idx="35">
                  <c:v>-9.0346297686375879E-2</c:v>
                </c:pt>
                <c:pt idx="36">
                  <c:v>-9.6555109885566009E-2</c:v>
                </c:pt>
                <c:pt idx="37">
                  <c:v>-0.10252258459497146</c:v>
                </c:pt>
                <c:pt idx="38">
                  <c:v>-0.10823380623561933</c:v>
                </c:pt>
                <c:pt idx="39">
                  <c:v>-0.11367449972775484</c:v>
                </c:pt>
                <c:pt idx="40">
                  <c:v>-0.11883106617110598</c:v>
                </c:pt>
                <c:pt idx="41">
                  <c:v>-0.12369061683505224</c:v>
                </c:pt>
                <c:pt idx="42">
                  <c:v>-0.12824100537373892</c:v>
                </c:pt>
                <c:pt idx="43">
                  <c:v>-0.13247085818561577</c:v>
                </c:pt>
                <c:pt idx="44">
                  <c:v>-0.13636960284151789</c:v>
                </c:pt>
                <c:pt idx="45">
                  <c:v>-0.13992749451023243</c:v>
                </c:pt>
                <c:pt idx="46">
                  <c:v>-0.14313564031550186</c:v>
                </c:pt>
                <c:pt idx="47">
                  <c:v>-0.14598602156358292</c:v>
                </c:pt>
                <c:pt idx="48">
                  <c:v>-0.14847151378580542</c:v>
                </c:pt>
                <c:pt idx="49">
                  <c:v>-0.15058590454603302</c:v>
                </c:pt>
                <c:pt idx="50">
                  <c:v>-0.15232390896851858</c:v>
                </c:pt>
                <c:pt idx="51">
                  <c:v>-0.15368118294734112</c:v>
                </c:pt>
                <c:pt idx="52">
                  <c:v>-0.1546543340044082</c:v>
                </c:pt>
                <c:pt idx="53">
                  <c:v>-0.15524092976888443</c:v>
                </c:pt>
                <c:pt idx="54">
                  <c:v>-0.15543950405685178</c:v>
                </c:pt>
                <c:pt idx="55">
                  <c:v>-0.15524956053600583</c:v>
                </c:pt>
                <c:pt idx="56">
                  <c:v>-0.15467157396622799</c:v>
                </c:pt>
                <c:pt idx="57">
                  <c:v>-0.1537069890129332</c:v>
                </c:pt>
                <c:pt idx="58">
                  <c:v>-0.15235821663615845</c:v>
                </c:pt>
                <c:pt idx="59">
                  <c:v>-0.15062862806441871</c:v>
                </c:pt>
                <c:pt idx="60">
                  <c:v>-0.14852254636839093</c:v>
                </c:pt>
                <c:pt idx="61">
                  <c:v>-0.14604523565548908</c:v>
                </c:pt>
                <c:pt idx="62">
                  <c:v>-0.14320288791233693</c:v>
                </c:pt>
                <c:pt idx="63">
                  <c:v>-0.14000260752802629</c:v>
                </c:pt>
                <c:pt idx="64">
                  <c:v>-0.13645239353684402</c:v>
                </c:pt>
                <c:pt idx="65">
                  <c:v>-0.13256111962485254</c:v>
                </c:pt>
                <c:pt idx="66">
                  <c:v>-0.12833851195029547</c:v>
                </c:pt>
                <c:pt idx="67">
                  <c:v>-0.12379512483326761</c:v>
                </c:pt>
                <c:pt idx="68">
                  <c:v>-0.11894231437541122</c:v>
                </c:pt>
                <c:pt idx="69">
                  <c:v>-0.11379221007557637</c:v>
                </c:pt>
                <c:pt idx="70">
                  <c:v>-0.10835768451238977</c:v>
                </c:pt>
                <c:pt idx="71">
                  <c:v>-0.10265232116951352</c:v>
                </c:pt>
                <c:pt idx="72">
                  <c:v>-9.6690380484008881E-2</c:v>
                </c:pt>
                <c:pt idx="73">
                  <c:v>-9.0486764202670947E-2</c:v>
                </c:pt>
                <c:pt idx="74">
                  <c:v>-8.4056978135422053E-2</c:v>
                </c:pt>
                <c:pt idx="75">
                  <c:v>-7.7417093398862685E-2</c:v>
                </c:pt>
                <c:pt idx="76">
                  <c:v>-7.0583706246848996E-2</c:v>
                </c:pt>
                <c:pt idx="77">
                  <c:v>-6.3573896588501808E-2</c:v>
                </c:pt>
                <c:pt idx="78">
                  <c:v>-5.640518529732854E-2</c:v>
                </c:pt>
                <c:pt idx="79">
                  <c:v>-4.9095490418164731E-2</c:v>
                </c:pt>
                <c:pt idx="80">
                  <c:v>-4.1663082381392644E-2</c:v>
                </c:pt>
                <c:pt idx="81">
                  <c:v>-3.412653833638081E-2</c:v>
                </c:pt>
                <c:pt idx="82">
                  <c:v>-2.6504695718285884E-2</c:v>
                </c:pt>
                <c:pt idx="83">
                  <c:v>-1.8816605164273803E-2</c:v>
                </c:pt>
                <c:pt idx="84">
                  <c:v>-1.1081482896849435E-2</c:v>
                </c:pt>
                <c:pt idx="85">
                  <c:v>-3.31866269330781E-3</c:v>
                </c:pt>
                <c:pt idx="86">
                  <c:v>4.4524524386409638E-3</c:v>
                </c:pt>
                <c:pt idx="87">
                  <c:v>1.2212438758285539E-2</c:v>
                </c:pt>
                <c:pt idx="88">
                  <c:v>1.9941900341149697E-2</c:v>
                </c:pt>
                <c:pt idx="89">
                  <c:v>2.7621517558701774E-2</c:v>
                </c:pt>
                <c:pt idx="90">
                  <c:v>3.5232095367365358E-2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66F-4AE1-A0DC-F3ECFFD08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1014288"/>
        <c:axId val="1"/>
      </c:scatterChart>
      <c:valAx>
        <c:axId val="291014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101428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Kitérés és gerjesztés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'csillapitott gerjesztett rezgés'!$Z$9</c:f>
              <c:strCache>
                <c:ptCount val="1"/>
                <c:pt idx="0">
                  <c:v>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'csillapitott gerjesztett rezgés'!$Y$10:$Y$60</c:f>
              <c:numCache>
                <c:formatCode>General</c:formatCode>
                <c:ptCount val="51"/>
                <c:pt idx="0">
                  <c:v>0</c:v>
                </c:pt>
                <c:pt idx="1">
                  <c:v>5.0000000000000001E-3</c:v>
                </c:pt>
                <c:pt idx="2">
                  <c:v>0.01</c:v>
                </c:pt>
                <c:pt idx="3">
                  <c:v>1.4999999999999999E-2</c:v>
                </c:pt>
                <c:pt idx="4">
                  <c:v>0.02</c:v>
                </c:pt>
                <c:pt idx="5">
                  <c:v>2.5000000000000001E-2</c:v>
                </c:pt>
                <c:pt idx="6">
                  <c:v>0.03</c:v>
                </c:pt>
                <c:pt idx="7">
                  <c:v>3.5000000000000003E-2</c:v>
                </c:pt>
                <c:pt idx="8">
                  <c:v>0.04</c:v>
                </c:pt>
                <c:pt idx="9">
                  <c:v>4.4999999999999998E-2</c:v>
                </c:pt>
                <c:pt idx="10">
                  <c:v>0.05</c:v>
                </c:pt>
                <c:pt idx="11">
                  <c:v>5.5E-2</c:v>
                </c:pt>
                <c:pt idx="12">
                  <c:v>0.06</c:v>
                </c:pt>
                <c:pt idx="13">
                  <c:v>6.5000000000000002E-2</c:v>
                </c:pt>
                <c:pt idx="14">
                  <c:v>7.0000000000000007E-2</c:v>
                </c:pt>
                <c:pt idx="15">
                  <c:v>7.4999999999999997E-2</c:v>
                </c:pt>
                <c:pt idx="16">
                  <c:v>0.08</c:v>
                </c:pt>
                <c:pt idx="17">
                  <c:v>8.5000000000000006E-2</c:v>
                </c:pt>
                <c:pt idx="18">
                  <c:v>0.09</c:v>
                </c:pt>
                <c:pt idx="19">
                  <c:v>9.5000000000000001E-2</c:v>
                </c:pt>
                <c:pt idx="20">
                  <c:v>0.1</c:v>
                </c:pt>
                <c:pt idx="21">
                  <c:v>0.105</c:v>
                </c:pt>
                <c:pt idx="22">
                  <c:v>0.11</c:v>
                </c:pt>
                <c:pt idx="23">
                  <c:v>0.115</c:v>
                </c:pt>
                <c:pt idx="24">
                  <c:v>0.12</c:v>
                </c:pt>
                <c:pt idx="25">
                  <c:v>0.125</c:v>
                </c:pt>
                <c:pt idx="26">
                  <c:v>0.13</c:v>
                </c:pt>
                <c:pt idx="27">
                  <c:v>0.13500000000000001</c:v>
                </c:pt>
                <c:pt idx="28">
                  <c:v>0.14000000000000001</c:v>
                </c:pt>
                <c:pt idx="29">
                  <c:v>0.14499999999999999</c:v>
                </c:pt>
                <c:pt idx="30">
                  <c:v>0.15</c:v>
                </c:pt>
                <c:pt idx="31">
                  <c:v>0.155</c:v>
                </c:pt>
                <c:pt idx="32">
                  <c:v>0.16</c:v>
                </c:pt>
                <c:pt idx="33">
                  <c:v>0.16500000000000001</c:v>
                </c:pt>
                <c:pt idx="34">
                  <c:v>0.17</c:v>
                </c:pt>
                <c:pt idx="35">
                  <c:v>0.17499999999999999</c:v>
                </c:pt>
                <c:pt idx="36">
                  <c:v>0.18</c:v>
                </c:pt>
                <c:pt idx="37">
                  <c:v>0.185</c:v>
                </c:pt>
                <c:pt idx="38">
                  <c:v>0.19</c:v>
                </c:pt>
                <c:pt idx="39">
                  <c:v>0.19500000000000001</c:v>
                </c:pt>
                <c:pt idx="40">
                  <c:v>0.2</c:v>
                </c:pt>
                <c:pt idx="41">
                  <c:v>0.20499999999999999</c:v>
                </c:pt>
                <c:pt idx="42">
                  <c:v>0.21</c:v>
                </c:pt>
                <c:pt idx="43">
                  <c:v>0.215</c:v>
                </c:pt>
                <c:pt idx="44">
                  <c:v>0.22</c:v>
                </c:pt>
                <c:pt idx="45">
                  <c:v>0.22500000000000001</c:v>
                </c:pt>
                <c:pt idx="46">
                  <c:v>0.23</c:v>
                </c:pt>
                <c:pt idx="47">
                  <c:v>0.23499999999999999</c:v>
                </c:pt>
                <c:pt idx="48">
                  <c:v>0.24</c:v>
                </c:pt>
                <c:pt idx="49">
                  <c:v>0.245</c:v>
                </c:pt>
                <c:pt idx="50">
                  <c:v>0.25</c:v>
                </c:pt>
              </c:numCache>
            </c:numRef>
          </c:cat>
          <c:val>
            <c:numRef>
              <c:f>'csillapitott gerjesztett rezgés'!$Z$10:$Z$60</c:f>
              <c:numCache>
                <c:formatCode>General</c:formatCode>
                <c:ptCount val="51"/>
                <c:pt idx="0">
                  <c:v>0.14056542692265248</c:v>
                </c:pt>
                <c:pt idx="1">
                  <c:v>0.13707345614932437</c:v>
                </c:pt>
                <c:pt idx="2">
                  <c:v>0.13323887312209895</c:v>
                </c:pt>
                <c:pt idx="3">
                  <c:v>0.12907126230153201</c:v>
                </c:pt>
                <c:pt idx="4">
                  <c:v>0.12458104054422524</c:v>
                </c:pt>
                <c:pt idx="5">
                  <c:v>0.11977943106610957</c:v>
                </c:pt>
                <c:pt idx="6">
                  <c:v>0.11467843539025045</c:v>
                </c:pt>
                <c:pt idx="7">
                  <c:v>0.10929080334929035</c:v>
                </c:pt>
                <c:pt idx="8">
                  <c:v>0.10363000121750711</c:v>
                </c:pt>
                <c:pt idx="9">
                  <c:v>9.7710178052141453E-2</c:v>
                </c:pt>
                <c:pt idx="10">
                  <c:v>9.1546130328122463E-2</c:v>
                </c:pt>
                <c:pt idx="11">
                  <c:v>8.5153264954586194E-2</c:v>
                </c:pt>
                <c:pt idx="12">
                  <c:v>7.8547560765626592E-2</c:v>
                </c:pt>
                <c:pt idx="13">
                  <c:v>7.1745528581531756E-2</c:v>
                </c:pt>
                <c:pt idx="14">
                  <c:v>6.4764169940332086E-2</c:v>
                </c:pt>
                <c:pt idx="15">
                  <c:v>5.7620934602809308E-2</c:v>
                </c:pt>
                <c:pt idx="16">
                  <c:v>5.0333676937182117E-2</c:v>
                </c:pt>
                <c:pt idx="17">
                  <c:v>4.2920611292484187E-2</c:v>
                </c:pt>
                <c:pt idx="18">
                  <c:v>3.5400266472177339E-2</c:v>
                </c:pt>
                <c:pt idx="19">
                  <c:v>2.7791439421792401E-2</c:v>
                </c:pt>
                <c:pt idx="20">
                  <c:v>2.0113148246354844E-2</c:v>
                </c:pt>
                <c:pt idx="21">
                  <c:v>1.2384584675026513E-2</c:v>
                </c:pt>
                <c:pt idx="22">
                  <c:v>4.6250660917776356E-3</c:v>
                </c:pt>
                <c:pt idx="23">
                  <c:v>-3.1460127480128293E-3</c:v>
                </c:pt>
                <c:pt idx="24">
                  <c:v>-1.0909228194344995E-2</c:v>
                </c:pt>
                <c:pt idx="25">
                  <c:v>-1.8645176251607547E-2</c:v>
                </c:pt>
                <c:pt idx="26">
                  <c:v>-2.6334521078461157E-2</c:v>
                </c:pt>
                <c:pt idx="27">
                  <c:v>-3.3958043317372073E-2</c:v>
                </c:pt>
                <c:pt idx="28">
                  <c:v>-4.1496688132996652E-2</c:v>
                </c:pt>
                <c:pt idx="29">
                  <c:v>-4.8931612839346113E-2</c:v>
                </c:pt>
                <c:pt idx="30">
                  <c:v>-5.6244233996688583E-2</c:v>
                </c:pt>
                <c:pt idx="31">
                  <c:v>-6.3416273860470163E-2</c:v>
                </c:pt>
                <c:pt idx="32">
                  <c:v>-7.0429806066157549E-2</c:v>
                </c:pt>
                <c:pt idx="33">
                  <c:v>-7.7267300435813493E-2</c:v>
                </c:pt>
                <c:pt idx="34">
                  <c:v>-8.3911666794412074E-2</c:v>
                </c:pt>
                <c:pt idx="35">
                  <c:v>-9.0346297686375879E-2</c:v>
                </c:pt>
                <c:pt idx="36">
                  <c:v>-9.6555109885566009E-2</c:v>
                </c:pt>
                <c:pt idx="37">
                  <c:v>-0.10252258459497146</c:v>
                </c:pt>
                <c:pt idx="38">
                  <c:v>-0.10823380623561933</c:v>
                </c:pt>
                <c:pt idx="39">
                  <c:v>-0.11367449972775484</c:v>
                </c:pt>
                <c:pt idx="40">
                  <c:v>-0.11883106617110598</c:v>
                </c:pt>
                <c:pt idx="41">
                  <c:v>-0.12369061683505224</c:v>
                </c:pt>
                <c:pt idx="42">
                  <c:v>-0.12824100537373892</c:v>
                </c:pt>
                <c:pt idx="43">
                  <c:v>-0.13247085818561577</c:v>
                </c:pt>
                <c:pt idx="44">
                  <c:v>-0.13636960284151789</c:v>
                </c:pt>
                <c:pt idx="45">
                  <c:v>-0.13992749451023243</c:v>
                </c:pt>
                <c:pt idx="46">
                  <c:v>-0.14313564031550186</c:v>
                </c:pt>
                <c:pt idx="47">
                  <c:v>-0.14598602156358292</c:v>
                </c:pt>
                <c:pt idx="48">
                  <c:v>-0.14847151378580542</c:v>
                </c:pt>
                <c:pt idx="49">
                  <c:v>-0.15058590454603302</c:v>
                </c:pt>
                <c:pt idx="50">
                  <c:v>-0.15232390896851858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3E-4A68-9CB0-F9124EF4D75D}"/>
            </c:ext>
          </c:extLst>
        </c:ser>
        <c:ser>
          <c:idx val="1"/>
          <c:order val="1"/>
          <c:tx>
            <c:strRef>
              <c:f>'csillapitott gerjesztett rezgés'!$AA$9</c:f>
              <c:strCache>
                <c:ptCount val="1"/>
                <c:pt idx="0">
                  <c:v>yg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'csillapitott gerjesztett rezgés'!$Y$10:$Y$60</c:f>
              <c:numCache>
                <c:formatCode>General</c:formatCode>
                <c:ptCount val="51"/>
                <c:pt idx="0">
                  <c:v>0</c:v>
                </c:pt>
                <c:pt idx="1">
                  <c:v>5.0000000000000001E-3</c:v>
                </c:pt>
                <c:pt idx="2">
                  <c:v>0.01</c:v>
                </c:pt>
                <c:pt idx="3">
                  <c:v>1.4999999999999999E-2</c:v>
                </c:pt>
                <c:pt idx="4">
                  <c:v>0.02</c:v>
                </c:pt>
                <c:pt idx="5">
                  <c:v>2.5000000000000001E-2</c:v>
                </c:pt>
                <c:pt idx="6">
                  <c:v>0.03</c:v>
                </c:pt>
                <c:pt idx="7">
                  <c:v>3.5000000000000003E-2</c:v>
                </c:pt>
                <c:pt idx="8">
                  <c:v>0.04</c:v>
                </c:pt>
                <c:pt idx="9">
                  <c:v>4.4999999999999998E-2</c:v>
                </c:pt>
                <c:pt idx="10">
                  <c:v>0.05</c:v>
                </c:pt>
                <c:pt idx="11">
                  <c:v>5.5E-2</c:v>
                </c:pt>
                <c:pt idx="12">
                  <c:v>0.06</c:v>
                </c:pt>
                <c:pt idx="13">
                  <c:v>6.5000000000000002E-2</c:v>
                </c:pt>
                <c:pt idx="14">
                  <c:v>7.0000000000000007E-2</c:v>
                </c:pt>
                <c:pt idx="15">
                  <c:v>7.4999999999999997E-2</c:v>
                </c:pt>
                <c:pt idx="16">
                  <c:v>0.08</c:v>
                </c:pt>
                <c:pt idx="17">
                  <c:v>8.5000000000000006E-2</c:v>
                </c:pt>
                <c:pt idx="18">
                  <c:v>0.09</c:v>
                </c:pt>
                <c:pt idx="19">
                  <c:v>9.5000000000000001E-2</c:v>
                </c:pt>
                <c:pt idx="20">
                  <c:v>0.1</c:v>
                </c:pt>
                <c:pt idx="21">
                  <c:v>0.105</c:v>
                </c:pt>
                <c:pt idx="22">
                  <c:v>0.11</c:v>
                </c:pt>
                <c:pt idx="23">
                  <c:v>0.115</c:v>
                </c:pt>
                <c:pt idx="24">
                  <c:v>0.12</c:v>
                </c:pt>
                <c:pt idx="25">
                  <c:v>0.125</c:v>
                </c:pt>
                <c:pt idx="26">
                  <c:v>0.13</c:v>
                </c:pt>
                <c:pt idx="27">
                  <c:v>0.13500000000000001</c:v>
                </c:pt>
                <c:pt idx="28">
                  <c:v>0.14000000000000001</c:v>
                </c:pt>
                <c:pt idx="29">
                  <c:v>0.14499999999999999</c:v>
                </c:pt>
                <c:pt idx="30">
                  <c:v>0.15</c:v>
                </c:pt>
                <c:pt idx="31">
                  <c:v>0.155</c:v>
                </c:pt>
                <c:pt idx="32">
                  <c:v>0.16</c:v>
                </c:pt>
                <c:pt idx="33">
                  <c:v>0.16500000000000001</c:v>
                </c:pt>
                <c:pt idx="34">
                  <c:v>0.17</c:v>
                </c:pt>
                <c:pt idx="35">
                  <c:v>0.17499999999999999</c:v>
                </c:pt>
                <c:pt idx="36">
                  <c:v>0.18</c:v>
                </c:pt>
                <c:pt idx="37">
                  <c:v>0.185</c:v>
                </c:pt>
                <c:pt idx="38">
                  <c:v>0.19</c:v>
                </c:pt>
                <c:pt idx="39">
                  <c:v>0.19500000000000001</c:v>
                </c:pt>
                <c:pt idx="40">
                  <c:v>0.2</c:v>
                </c:pt>
                <c:pt idx="41">
                  <c:v>0.20499999999999999</c:v>
                </c:pt>
                <c:pt idx="42">
                  <c:v>0.21</c:v>
                </c:pt>
                <c:pt idx="43">
                  <c:v>0.215</c:v>
                </c:pt>
                <c:pt idx="44">
                  <c:v>0.22</c:v>
                </c:pt>
                <c:pt idx="45">
                  <c:v>0.22500000000000001</c:v>
                </c:pt>
                <c:pt idx="46">
                  <c:v>0.23</c:v>
                </c:pt>
                <c:pt idx="47">
                  <c:v>0.23499999999999999</c:v>
                </c:pt>
                <c:pt idx="48">
                  <c:v>0.24</c:v>
                </c:pt>
                <c:pt idx="49">
                  <c:v>0.245</c:v>
                </c:pt>
                <c:pt idx="50">
                  <c:v>0.25</c:v>
                </c:pt>
              </c:numCache>
            </c:numRef>
          </c:cat>
          <c:val>
            <c:numRef>
              <c:f>'csillapitott gerjesztett rezgés'!$AA$10:$AA$60</c:f>
              <c:numCache>
                <c:formatCode>General</c:formatCode>
                <c:ptCount val="51"/>
                <c:pt idx="0">
                  <c:v>0</c:v>
                </c:pt>
                <c:pt idx="1">
                  <c:v>-9.8331729557094433E-3</c:v>
                </c:pt>
                <c:pt idx="2">
                  <c:v>-1.9641768100047093E-2</c:v>
                </c:pt>
                <c:pt idx="3">
                  <c:v>-2.9401269053369709E-2</c:v>
                </c:pt>
                <c:pt idx="4">
                  <c:v>-3.9087282145943827E-2</c:v>
                </c:pt>
                <c:pt idx="5">
                  <c:v>-4.8675597389416111E-2</c:v>
                </c:pt>
                <c:pt idx="6">
                  <c:v>-5.8142248989175929E-2</c:v>
                </c:pt>
                <c:pt idx="7">
                  <c:v>-6.7463575246360763E-2</c:v>
                </c:pt>
                <c:pt idx="8">
                  <c:v>-7.6616277699780466E-2</c:v>
                </c:pt>
                <c:pt idx="9">
                  <c:v>-8.5577479359936801E-2</c:v>
                </c:pt>
                <c:pt idx="10">
                  <c:v>-9.4324781889583015E-2</c:v>
                </c:pt>
                <c:pt idx="11">
                  <c:v>-0.10283632158790205</c:v>
                </c:pt>
                <c:pt idx="12">
                  <c:v>-0.11109082403837231</c:v>
                </c:pt>
                <c:pt idx="13">
                  <c:v>-0.11906765728372939</c:v>
                </c:pt>
                <c:pt idx="14">
                  <c:v>-0.12674688339511436</c:v>
                </c:pt>
                <c:pt idx="15">
                  <c:v>-0.13410930830651235</c:v>
                </c:pt>
                <c:pt idx="16">
                  <c:v>-0.14113652978992172</c:v>
                </c:pt>
                <c:pt idx="17">
                  <c:v>-0.14781098345134011</c:v>
                </c:pt>
                <c:pt idx="18">
                  <c:v>-0.1541159866326022</c:v>
                </c:pt>
                <c:pt idx="19">
                  <c:v>-0.16003578010933711</c:v>
                </c:pt>
                <c:pt idx="20">
                  <c:v>-0.16555556748082179</c:v>
                </c:pt>
                <c:pt idx="21">
                  <c:v>-0.17066155215327722</c:v>
                </c:pt>
                <c:pt idx="22">
                  <c:v>-0.17534097182416766</c:v>
                </c:pt>
                <c:pt idx="23">
                  <c:v>-0.17958213038131057</c:v>
                </c:pt>
                <c:pt idx="24">
                  <c:v>-0.18337442713706575</c:v>
                </c:pt>
                <c:pt idx="25">
                  <c:v>-0.18670838332453382</c:v>
                </c:pt>
                <c:pt idx="26">
                  <c:v>-0.18957566578953688</c:v>
                </c:pt>
                <c:pt idx="27">
                  <c:v>-0.19196910781916432</c:v>
                </c:pt>
                <c:pt idx="28">
                  <c:v>-0.19388272705482254</c:v>
                </c:pt>
                <c:pt idx="29">
                  <c:v>-0.19531174044501601</c:v>
                </c:pt>
                <c:pt idx="30">
                  <c:v>-0.19625257620048508</c:v>
                </c:pt>
                <c:pt idx="31">
                  <c:v>-0.19670288272181888</c:v>
                </c:pt>
                <c:pt idx="32">
                  <c:v>-0.19666153447722909</c:v>
                </c:pt>
                <c:pt idx="33">
                  <c:v>-0.19612863481579354</c:v>
                </c:pt>
                <c:pt idx="34">
                  <c:v>-0.19510551570913695</c:v>
                </c:pt>
                <c:pt idx="35">
                  <c:v>-0.19359473442219591</c:v>
                </c:pt>
                <c:pt idx="36">
                  <c:v>-0.19160006712138805</c:v>
                </c:pt>
                <c:pt idx="37">
                  <c:v>-0.18912649943616269</c:v>
                </c:pt>
                <c:pt idx="38">
                  <c:v>-0.18618021399752385</c:v>
                </c:pt>
                <c:pt idx="39">
                  <c:v>-0.18276857498467225</c:v>
                </c:pt>
                <c:pt idx="40">
                  <c:v>-0.17890010971839282</c:v>
                </c:pt>
                <c:pt idx="41">
                  <c:v>-0.17458448734719348</c:v>
                </c:pt>
                <c:pt idx="42">
                  <c:v>-0.16983249467946948</c:v>
                </c:pt>
                <c:pt idx="43">
                  <c:v>-0.1646560092221003</c:v>
                </c:pt>
                <c:pt idx="44">
                  <c:v>-0.15906796949286778</c:v>
                </c:pt>
                <c:pt idx="45">
                  <c:v>-0.15308234268090018</c:v>
                </c:pt>
                <c:pt idx="46">
                  <c:v>-0.14671408973597322</c:v>
                </c:pt>
                <c:pt idx="47">
                  <c:v>-0.13997912797392734</c:v>
                </c:pt>
                <c:pt idx="48">
                  <c:v>-0.1328942912916671</c:v>
                </c:pt>
                <c:pt idx="49">
                  <c:v>-0.12547728809118669</c:v>
                </c:pt>
                <c:pt idx="50">
                  <c:v>-0.11774665701778679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3E-4A68-9CB0-F9124EF4D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882176"/>
        <c:axId val="380878240"/>
      </c:lineChart>
      <c:catAx>
        <c:axId val="38088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80878240"/>
        <c:crosses val="autoZero"/>
        <c:auto val="1"/>
        <c:lblAlgn val="ctr"/>
        <c:lblOffset val="100"/>
        <c:noMultiLvlLbl val="0"/>
      </c:catAx>
      <c:valAx>
        <c:axId val="380878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80882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 eset nagyítás, fázisszög diagrammok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'Különböző gerjesztési típusok'!$W$9</c:f>
              <c:strCache>
                <c:ptCount val="1"/>
                <c:pt idx="0">
                  <c:v>N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'Különböző gerjesztési típusok'!$V$10:$V$116</c:f>
              <c:numCache>
                <c:formatCode>General</c:formatCode>
                <c:ptCount val="107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0.91</c:v>
                </c:pt>
                <c:pt idx="11">
                  <c:v>0.92</c:v>
                </c:pt>
                <c:pt idx="12">
                  <c:v>0.93</c:v>
                </c:pt>
                <c:pt idx="13">
                  <c:v>0.94</c:v>
                </c:pt>
                <c:pt idx="14">
                  <c:v>0.95</c:v>
                </c:pt>
                <c:pt idx="15">
                  <c:v>0.96</c:v>
                </c:pt>
                <c:pt idx="16">
                  <c:v>0.97</c:v>
                </c:pt>
                <c:pt idx="17">
                  <c:v>0.98</c:v>
                </c:pt>
                <c:pt idx="18">
                  <c:v>0.99</c:v>
                </c:pt>
                <c:pt idx="19">
                  <c:v>1.01</c:v>
                </c:pt>
                <c:pt idx="20">
                  <c:v>1.02</c:v>
                </c:pt>
                <c:pt idx="21">
                  <c:v>1.03</c:v>
                </c:pt>
                <c:pt idx="22">
                  <c:v>1.04</c:v>
                </c:pt>
                <c:pt idx="23">
                  <c:v>1.05</c:v>
                </c:pt>
                <c:pt idx="24">
                  <c:v>1.06</c:v>
                </c:pt>
                <c:pt idx="25">
                  <c:v>1.07</c:v>
                </c:pt>
                <c:pt idx="26">
                  <c:v>1.08</c:v>
                </c:pt>
                <c:pt idx="27">
                  <c:v>1.0900000000000001</c:v>
                </c:pt>
                <c:pt idx="28">
                  <c:v>1.1000000000000001</c:v>
                </c:pt>
                <c:pt idx="29">
                  <c:v>1.2</c:v>
                </c:pt>
                <c:pt idx="30">
                  <c:v>1.3</c:v>
                </c:pt>
                <c:pt idx="31">
                  <c:v>1.4</c:v>
                </c:pt>
                <c:pt idx="32">
                  <c:v>1.5</c:v>
                </c:pt>
                <c:pt idx="33">
                  <c:v>1.6</c:v>
                </c:pt>
                <c:pt idx="34">
                  <c:v>1.7</c:v>
                </c:pt>
                <c:pt idx="35">
                  <c:v>1.8</c:v>
                </c:pt>
                <c:pt idx="36">
                  <c:v>1.9</c:v>
                </c:pt>
                <c:pt idx="37">
                  <c:v>2</c:v>
                </c:pt>
                <c:pt idx="38">
                  <c:v>2.1</c:v>
                </c:pt>
                <c:pt idx="39">
                  <c:v>2.2000000000000002</c:v>
                </c:pt>
                <c:pt idx="40">
                  <c:v>2.2999999999999998</c:v>
                </c:pt>
                <c:pt idx="41">
                  <c:v>2.4</c:v>
                </c:pt>
                <c:pt idx="42">
                  <c:v>2.5</c:v>
                </c:pt>
                <c:pt idx="43">
                  <c:v>2.6</c:v>
                </c:pt>
                <c:pt idx="44">
                  <c:v>2.7</c:v>
                </c:pt>
                <c:pt idx="45">
                  <c:v>2.8</c:v>
                </c:pt>
                <c:pt idx="46">
                  <c:v>2.9</c:v>
                </c:pt>
                <c:pt idx="47">
                  <c:v>3</c:v>
                </c:pt>
                <c:pt idx="48">
                  <c:v>3.1</c:v>
                </c:pt>
                <c:pt idx="49">
                  <c:v>3.2</c:v>
                </c:pt>
                <c:pt idx="50">
                  <c:v>3.3</c:v>
                </c:pt>
                <c:pt idx="51">
                  <c:v>3.4</c:v>
                </c:pt>
                <c:pt idx="52">
                  <c:v>3.5</c:v>
                </c:pt>
                <c:pt idx="53">
                  <c:v>3.6</c:v>
                </c:pt>
                <c:pt idx="54">
                  <c:v>3.7</c:v>
                </c:pt>
                <c:pt idx="55">
                  <c:v>3.8</c:v>
                </c:pt>
                <c:pt idx="56">
                  <c:v>3.9</c:v>
                </c:pt>
                <c:pt idx="57">
                  <c:v>4</c:v>
                </c:pt>
                <c:pt idx="58">
                  <c:v>4.0999999999999996</c:v>
                </c:pt>
                <c:pt idx="59">
                  <c:v>4.2</c:v>
                </c:pt>
                <c:pt idx="60">
                  <c:v>4.3</c:v>
                </c:pt>
                <c:pt idx="61">
                  <c:v>4.4000000000000004</c:v>
                </c:pt>
                <c:pt idx="62">
                  <c:v>4.5</c:v>
                </c:pt>
                <c:pt idx="63">
                  <c:v>4.5999999999999996</c:v>
                </c:pt>
                <c:pt idx="64">
                  <c:v>4.7</c:v>
                </c:pt>
                <c:pt idx="65">
                  <c:v>4.8</c:v>
                </c:pt>
                <c:pt idx="66">
                  <c:v>4.9000000000000004</c:v>
                </c:pt>
                <c:pt idx="67">
                  <c:v>5</c:v>
                </c:pt>
                <c:pt idx="68">
                  <c:v>5.0999999999999996</c:v>
                </c:pt>
                <c:pt idx="69">
                  <c:v>5.2</c:v>
                </c:pt>
                <c:pt idx="70">
                  <c:v>5.3</c:v>
                </c:pt>
                <c:pt idx="71">
                  <c:v>5.4</c:v>
                </c:pt>
                <c:pt idx="72">
                  <c:v>5.5</c:v>
                </c:pt>
                <c:pt idx="73">
                  <c:v>5.6</c:v>
                </c:pt>
                <c:pt idx="74">
                  <c:v>5.7</c:v>
                </c:pt>
                <c:pt idx="75">
                  <c:v>5.8</c:v>
                </c:pt>
                <c:pt idx="76">
                  <c:v>5.9</c:v>
                </c:pt>
                <c:pt idx="77">
                  <c:v>6</c:v>
                </c:pt>
                <c:pt idx="78">
                  <c:v>6.1</c:v>
                </c:pt>
                <c:pt idx="79">
                  <c:v>6.2</c:v>
                </c:pt>
                <c:pt idx="80">
                  <c:v>6.3</c:v>
                </c:pt>
                <c:pt idx="81">
                  <c:v>6.4</c:v>
                </c:pt>
                <c:pt idx="82">
                  <c:v>6.5</c:v>
                </c:pt>
                <c:pt idx="83">
                  <c:v>6.6</c:v>
                </c:pt>
                <c:pt idx="84">
                  <c:v>6.7</c:v>
                </c:pt>
                <c:pt idx="85">
                  <c:v>6.8</c:v>
                </c:pt>
                <c:pt idx="86">
                  <c:v>6.9</c:v>
                </c:pt>
                <c:pt idx="87">
                  <c:v>7</c:v>
                </c:pt>
                <c:pt idx="88">
                  <c:v>7.1</c:v>
                </c:pt>
                <c:pt idx="89">
                  <c:v>7.2</c:v>
                </c:pt>
                <c:pt idx="90">
                  <c:v>7.3</c:v>
                </c:pt>
                <c:pt idx="91">
                  <c:v>7.4</c:v>
                </c:pt>
                <c:pt idx="92">
                  <c:v>7.5</c:v>
                </c:pt>
                <c:pt idx="93">
                  <c:v>7.6</c:v>
                </c:pt>
                <c:pt idx="94">
                  <c:v>7.7</c:v>
                </c:pt>
                <c:pt idx="95">
                  <c:v>7.8</c:v>
                </c:pt>
                <c:pt idx="96">
                  <c:v>7.9</c:v>
                </c:pt>
                <c:pt idx="97">
                  <c:v>8</c:v>
                </c:pt>
                <c:pt idx="98">
                  <c:v>8.1</c:v>
                </c:pt>
                <c:pt idx="99">
                  <c:v>8.1999999999999993</c:v>
                </c:pt>
                <c:pt idx="100">
                  <c:v>8.3000000000000007</c:v>
                </c:pt>
                <c:pt idx="101">
                  <c:v>8.4</c:v>
                </c:pt>
                <c:pt idx="102">
                  <c:v>8.5</c:v>
                </c:pt>
                <c:pt idx="103">
                  <c:v>8.6</c:v>
                </c:pt>
                <c:pt idx="104">
                  <c:v>8.6999999999999993</c:v>
                </c:pt>
                <c:pt idx="105">
                  <c:v>8.8000000000000007</c:v>
                </c:pt>
                <c:pt idx="106">
                  <c:v>8.9</c:v>
                </c:pt>
              </c:numCache>
            </c:numRef>
          </c:xVal>
          <c:yVal>
            <c:numRef>
              <c:f>'Különböző gerjesztési típusok'!$W$10:$W$116</c:f>
              <c:numCache>
                <c:formatCode>General</c:formatCode>
                <c:ptCount val="107"/>
                <c:pt idx="0">
                  <c:v>0</c:v>
                </c:pt>
                <c:pt idx="1">
                  <c:v>7.5090936551516288E-2</c:v>
                </c:pt>
                <c:pt idx="2">
                  <c:v>0.15347351814419322</c:v>
                </c:pt>
                <c:pt idx="3">
                  <c:v>0.23866839771981524</c:v>
                </c:pt>
                <c:pt idx="4">
                  <c:v>0.33454685872170747</c:v>
                </c:pt>
                <c:pt idx="5">
                  <c:v>0.4450655305506942</c:v>
                </c:pt>
                <c:pt idx="6">
                  <c:v>0.57286312911596582</c:v>
                </c:pt>
                <c:pt idx="7">
                  <c:v>0.71518256921247048</c:v>
                </c:pt>
                <c:pt idx="8">
                  <c:v>0.85612351708460421</c:v>
                </c:pt>
                <c:pt idx="9">
                  <c:v>0.96216575374648605</c:v>
                </c:pt>
                <c:pt idx="10">
                  <c:v>0.96936511153804439</c:v>
                </c:pt>
                <c:pt idx="11">
                  <c:v>0.97582851450515029</c:v>
                </c:pt>
                <c:pt idx="12">
                  <c:v>0.98153896363983462</c:v>
                </c:pt>
                <c:pt idx="13">
                  <c:v>0.98648412517417761</c:v>
                </c:pt>
                <c:pt idx="14">
                  <c:v>0.99065647674777235</c:v>
                </c:pt>
                <c:pt idx="15">
                  <c:v>0.99405336765774599</c:v>
                </c:pt>
                <c:pt idx="16">
                  <c:v>0.99667699228026185</c:v>
                </c:pt>
                <c:pt idx="17">
                  <c:v>0.99853427876355605</c:v>
                </c:pt>
                <c:pt idx="18">
                  <c:v>0.99963669794673982</c:v>
                </c:pt>
                <c:pt idx="19">
                  <c:v>0.99964388838238316</c:v>
                </c:pt>
                <c:pt idx="20">
                  <c:v>0.99859164228159691</c:v>
                </c:pt>
                <c:pt idx="21">
                  <c:v>0.99686969968672257</c:v>
                </c:pt>
                <c:pt idx="22">
                  <c:v>0.9945072136421903</c:v>
                </c:pt>
                <c:pt idx="23">
                  <c:v>0.99153559407174274</c:v>
                </c:pt>
                <c:pt idx="24">
                  <c:v>0.98798804690866837</c:v>
                </c:pt>
                <c:pt idx="25">
                  <c:v>0.98389912121122092</c:v>
                </c:pt>
                <c:pt idx="26">
                  <c:v>0.97930427358167182</c:v>
                </c:pt>
                <c:pt idx="27">
                  <c:v>0.97423945765017639</c:v>
                </c:pt>
                <c:pt idx="28">
                  <c:v>0.96874074473292315</c:v>
                </c:pt>
                <c:pt idx="29">
                  <c:v>0.8973381290223349</c:v>
                </c:pt>
                <c:pt idx="30">
                  <c:v>0.81462888182733173</c:v>
                </c:pt>
                <c:pt idx="31">
                  <c:v>0.73600497841081958</c:v>
                </c:pt>
                <c:pt idx="32">
                  <c:v>0.6667407308650023</c:v>
                </c:pt>
                <c:pt idx="33">
                  <c:v>0.60740734677491826</c:v>
                </c:pt>
                <c:pt idx="34">
                  <c:v>0.55693691635946441</c:v>
                </c:pt>
                <c:pt idx="35">
                  <c:v>0.51390685473075737</c:v>
                </c:pt>
                <c:pt idx="36">
                  <c:v>0.47698846507170606</c:v>
                </c:pt>
                <c:pt idx="37">
                  <c:v>0.4450655305506942</c:v>
                </c:pt>
                <c:pt idx="38">
                  <c:v>0.41723694086261531</c:v>
                </c:pt>
                <c:pt idx="39">
                  <c:v>0.39278534114402908</c:v>
                </c:pt>
                <c:pt idx="40">
                  <c:v>0.37114093145365096</c:v>
                </c:pt>
                <c:pt idx="41">
                  <c:v>0.3518495362137854</c:v>
                </c:pt>
                <c:pt idx="42">
                  <c:v>0.33454685872170742</c:v>
                </c:pt>
                <c:pt idx="43">
                  <c:v>0.31893846893287703</c:v>
                </c:pt>
                <c:pt idx="44">
                  <c:v>0.30478447265179021</c:v>
                </c:pt>
                <c:pt idx="45">
                  <c:v>0.2918878129069849</c:v>
                </c:pt>
                <c:pt idx="46">
                  <c:v>0.28008532830153443</c:v>
                </c:pt>
                <c:pt idx="47">
                  <c:v>0.26924088681552744</c:v>
                </c:pt>
                <c:pt idx="48">
                  <c:v>0.25924008023998585</c:v>
                </c:pt>
                <c:pt idx="49">
                  <c:v>0.24998609539485159</c:v>
                </c:pt>
                <c:pt idx="50">
                  <c:v>0.24139647712621118</c:v>
                </c:pt>
                <c:pt idx="51">
                  <c:v>0.23340057130990641</c:v>
                </c:pt>
                <c:pt idx="52">
                  <c:v>0.22593748994172089</c:v>
                </c:pt>
                <c:pt idx="53">
                  <c:v>0.2189544799388905</c:v>
                </c:pt>
                <c:pt idx="54">
                  <c:v>0.2124056063742932</c:v>
                </c:pt>
                <c:pt idx="55">
                  <c:v>0.20625068236152863</c:v>
                </c:pt>
                <c:pt idx="56">
                  <c:v>0.20045439377590524</c:v>
                </c:pt>
                <c:pt idx="57">
                  <c:v>0.19498557892750482</c:v>
                </c:pt>
                <c:pt idx="58">
                  <c:v>0.18981663227543294</c:v>
                </c:pt>
                <c:pt idx="59">
                  <c:v>0.18492300806520884</c:v>
                </c:pt>
                <c:pt idx="60">
                  <c:v>0.18028280494789034</c:v>
                </c:pt>
                <c:pt idx="61">
                  <c:v>0.17587641661052847</c:v>
                </c:pt>
                <c:pt idx="62">
                  <c:v>0.17168623651343812</c:v>
                </c:pt>
                <c:pt idx="63">
                  <c:v>0.16769640721182538</c:v>
                </c:pt>
                <c:pt idx="64">
                  <c:v>0.16389260660143296</c:v>
                </c:pt>
                <c:pt idx="65">
                  <c:v>0.1602618648921979</c:v>
                </c:pt>
                <c:pt idx="66">
                  <c:v>0.15679240727206836</c:v>
                </c:pt>
                <c:pt idx="67">
                  <c:v>0.15347351814419319</c:v>
                </c:pt>
                <c:pt idx="68">
                  <c:v>0.15029542355713807</c:v>
                </c:pt>
                <c:pt idx="69">
                  <c:v>0.14724918903963288</c:v>
                </c:pt>
                <c:pt idx="70">
                  <c:v>0.14432663052936476</c:v>
                </c:pt>
                <c:pt idx="71">
                  <c:v>0.14152023647323847</c:v>
                </c:pt>
                <c:pt idx="72">
                  <c:v>0.13882309949276167</c:v>
                </c:pt>
                <c:pt idx="73">
                  <c:v>0.13622885626715686</c:v>
                </c:pt>
                <c:pt idx="74">
                  <c:v>0.13373163449973688</c:v>
                </c:pt>
                <c:pt idx="75">
                  <c:v>0.13132600600889954</c:v>
                </c:pt>
                <c:pt idx="76">
                  <c:v>0.12900694513083816</c:v>
                </c:pt>
                <c:pt idx="77">
                  <c:v>0.12676979174233813</c:v>
                </c:pt>
                <c:pt idx="78">
                  <c:v>0.12461021831330642</c:v>
                </c:pt>
                <c:pt idx="79">
                  <c:v>0.12252420048356147</c:v>
                </c:pt>
                <c:pt idx="80">
                  <c:v>0.12050799072978897</c:v>
                </c:pt>
                <c:pt idx="81">
                  <c:v>0.11855809474879019</c:v>
                </c:pt>
                <c:pt idx="82">
                  <c:v>0.11667125023412019</c:v>
                </c:pt>
                <c:pt idx="83">
                  <c:v>0.11484440776648315</c:v>
                </c:pt>
                <c:pt idx="84">
                  <c:v>0.1130747135750968</c:v>
                </c:pt>
                <c:pt idx="85">
                  <c:v>0.11135949395869764</c:v>
                </c:pt>
                <c:pt idx="86">
                  <c:v>0.10969624118179835</c:v>
                </c:pt>
                <c:pt idx="87">
                  <c:v>0.10808260068493546</c:v>
                </c:pt>
                <c:pt idx="88">
                  <c:v>0.10651635946755265</c:v>
                </c:pt>
                <c:pt idx="89">
                  <c:v>0.10499543551934415</c:v>
                </c:pt>
                <c:pt idx="90">
                  <c:v>0.10351786819074082</c:v>
                </c:pt>
                <c:pt idx="91">
                  <c:v>0.10208180940610538</c:v>
                </c:pt>
                <c:pt idx="92">
                  <c:v>0.10068551563439807</c:v>
                </c:pt>
                <c:pt idx="93">
                  <c:v>9.9327340541825668E-2</c:v>
                </c:pt>
                <c:pt idx="94">
                  <c:v>9.8005728259495342E-2</c:v>
                </c:pt>
                <c:pt idx="95">
                  <c:v>9.6719207206538024E-2</c:v>
                </c:pt>
                <c:pt idx="96">
                  <c:v>9.546638441568836E-2</c:v>
                </c:pt>
                <c:pt idx="97">
                  <c:v>9.4245940314035659E-2</c:v>
                </c:pt>
                <c:pt idx="98">
                  <c:v>9.3056623916697334E-2</c:v>
                </c:pt>
                <c:pt idx="99">
                  <c:v>9.1897248395608228E-2</c:v>
                </c:pt>
                <c:pt idx="100">
                  <c:v>9.0766686989539061E-2</c:v>
                </c:pt>
                <c:pt idx="101">
                  <c:v>8.9663869224924725E-2</c:v>
                </c:pt>
                <c:pt idx="102">
                  <c:v>8.8587777420156694E-2</c:v>
                </c:pt>
                <c:pt idx="103">
                  <c:v>8.7537443448718555E-2</c:v>
                </c:pt>
                <c:pt idx="104">
                  <c:v>8.6511945738968976E-2</c:v>
                </c:pt>
                <c:pt idx="105">
                  <c:v>8.5510406490532542E-2</c:v>
                </c:pt>
                <c:pt idx="106">
                  <c:v>8.4531989089183718E-2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990-4195-BBEA-CC1BC0B5E8C3}"/>
            </c:ext>
          </c:extLst>
        </c:ser>
        <c:ser>
          <c:idx val="1"/>
          <c:order val="1"/>
          <c:tx>
            <c:strRef>
              <c:f>'Különböző gerjesztési típusok'!$X$9</c:f>
              <c:strCache>
                <c:ptCount val="1"/>
                <c:pt idx="0">
                  <c:v>fazisszog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'Különböző gerjesztési típusok'!$V$10:$V$116</c:f>
              <c:numCache>
                <c:formatCode>General</c:formatCode>
                <c:ptCount val="107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0.91</c:v>
                </c:pt>
                <c:pt idx="11">
                  <c:v>0.92</c:v>
                </c:pt>
                <c:pt idx="12">
                  <c:v>0.93</c:v>
                </c:pt>
                <c:pt idx="13">
                  <c:v>0.94</c:v>
                </c:pt>
                <c:pt idx="14">
                  <c:v>0.95</c:v>
                </c:pt>
                <c:pt idx="15">
                  <c:v>0.96</c:v>
                </c:pt>
                <c:pt idx="16">
                  <c:v>0.97</c:v>
                </c:pt>
                <c:pt idx="17">
                  <c:v>0.98</c:v>
                </c:pt>
                <c:pt idx="18">
                  <c:v>0.99</c:v>
                </c:pt>
                <c:pt idx="19">
                  <c:v>1.01</c:v>
                </c:pt>
                <c:pt idx="20">
                  <c:v>1.02</c:v>
                </c:pt>
                <c:pt idx="21">
                  <c:v>1.03</c:v>
                </c:pt>
                <c:pt idx="22">
                  <c:v>1.04</c:v>
                </c:pt>
                <c:pt idx="23">
                  <c:v>1.05</c:v>
                </c:pt>
                <c:pt idx="24">
                  <c:v>1.06</c:v>
                </c:pt>
                <c:pt idx="25">
                  <c:v>1.07</c:v>
                </c:pt>
                <c:pt idx="26">
                  <c:v>1.08</c:v>
                </c:pt>
                <c:pt idx="27">
                  <c:v>1.0900000000000001</c:v>
                </c:pt>
                <c:pt idx="28">
                  <c:v>1.1000000000000001</c:v>
                </c:pt>
                <c:pt idx="29">
                  <c:v>1.2</c:v>
                </c:pt>
                <c:pt idx="30">
                  <c:v>1.3</c:v>
                </c:pt>
                <c:pt idx="31">
                  <c:v>1.4</c:v>
                </c:pt>
                <c:pt idx="32">
                  <c:v>1.5</c:v>
                </c:pt>
                <c:pt idx="33">
                  <c:v>1.6</c:v>
                </c:pt>
                <c:pt idx="34">
                  <c:v>1.7</c:v>
                </c:pt>
                <c:pt idx="35">
                  <c:v>1.8</c:v>
                </c:pt>
                <c:pt idx="36">
                  <c:v>1.9</c:v>
                </c:pt>
                <c:pt idx="37">
                  <c:v>2</c:v>
                </c:pt>
                <c:pt idx="38">
                  <c:v>2.1</c:v>
                </c:pt>
                <c:pt idx="39">
                  <c:v>2.2000000000000002</c:v>
                </c:pt>
                <c:pt idx="40">
                  <c:v>2.2999999999999998</c:v>
                </c:pt>
                <c:pt idx="41">
                  <c:v>2.4</c:v>
                </c:pt>
                <c:pt idx="42">
                  <c:v>2.5</c:v>
                </c:pt>
                <c:pt idx="43">
                  <c:v>2.6</c:v>
                </c:pt>
                <c:pt idx="44">
                  <c:v>2.7</c:v>
                </c:pt>
                <c:pt idx="45">
                  <c:v>2.8</c:v>
                </c:pt>
                <c:pt idx="46">
                  <c:v>2.9</c:v>
                </c:pt>
                <c:pt idx="47">
                  <c:v>3</c:v>
                </c:pt>
                <c:pt idx="48">
                  <c:v>3.1</c:v>
                </c:pt>
                <c:pt idx="49">
                  <c:v>3.2</c:v>
                </c:pt>
                <c:pt idx="50">
                  <c:v>3.3</c:v>
                </c:pt>
                <c:pt idx="51">
                  <c:v>3.4</c:v>
                </c:pt>
                <c:pt idx="52">
                  <c:v>3.5</c:v>
                </c:pt>
                <c:pt idx="53">
                  <c:v>3.6</c:v>
                </c:pt>
                <c:pt idx="54">
                  <c:v>3.7</c:v>
                </c:pt>
                <c:pt idx="55">
                  <c:v>3.8</c:v>
                </c:pt>
                <c:pt idx="56">
                  <c:v>3.9</c:v>
                </c:pt>
                <c:pt idx="57">
                  <c:v>4</c:v>
                </c:pt>
                <c:pt idx="58">
                  <c:v>4.0999999999999996</c:v>
                </c:pt>
                <c:pt idx="59">
                  <c:v>4.2</c:v>
                </c:pt>
                <c:pt idx="60">
                  <c:v>4.3</c:v>
                </c:pt>
                <c:pt idx="61">
                  <c:v>4.4000000000000004</c:v>
                </c:pt>
                <c:pt idx="62">
                  <c:v>4.5</c:v>
                </c:pt>
                <c:pt idx="63">
                  <c:v>4.5999999999999996</c:v>
                </c:pt>
                <c:pt idx="64">
                  <c:v>4.7</c:v>
                </c:pt>
                <c:pt idx="65">
                  <c:v>4.8</c:v>
                </c:pt>
                <c:pt idx="66">
                  <c:v>4.9000000000000004</c:v>
                </c:pt>
                <c:pt idx="67">
                  <c:v>5</c:v>
                </c:pt>
                <c:pt idx="68">
                  <c:v>5.0999999999999996</c:v>
                </c:pt>
                <c:pt idx="69">
                  <c:v>5.2</c:v>
                </c:pt>
                <c:pt idx="70">
                  <c:v>5.3</c:v>
                </c:pt>
                <c:pt idx="71">
                  <c:v>5.4</c:v>
                </c:pt>
                <c:pt idx="72">
                  <c:v>5.5</c:v>
                </c:pt>
                <c:pt idx="73">
                  <c:v>5.6</c:v>
                </c:pt>
                <c:pt idx="74">
                  <c:v>5.7</c:v>
                </c:pt>
                <c:pt idx="75">
                  <c:v>5.8</c:v>
                </c:pt>
                <c:pt idx="76">
                  <c:v>5.9</c:v>
                </c:pt>
                <c:pt idx="77">
                  <c:v>6</c:v>
                </c:pt>
                <c:pt idx="78">
                  <c:v>6.1</c:v>
                </c:pt>
                <c:pt idx="79">
                  <c:v>6.2</c:v>
                </c:pt>
                <c:pt idx="80">
                  <c:v>6.3</c:v>
                </c:pt>
                <c:pt idx="81">
                  <c:v>6.4</c:v>
                </c:pt>
                <c:pt idx="82">
                  <c:v>6.5</c:v>
                </c:pt>
                <c:pt idx="83">
                  <c:v>6.6</c:v>
                </c:pt>
                <c:pt idx="84">
                  <c:v>6.7</c:v>
                </c:pt>
                <c:pt idx="85">
                  <c:v>6.8</c:v>
                </c:pt>
                <c:pt idx="86">
                  <c:v>6.9</c:v>
                </c:pt>
                <c:pt idx="87">
                  <c:v>7</c:v>
                </c:pt>
                <c:pt idx="88">
                  <c:v>7.1</c:v>
                </c:pt>
                <c:pt idx="89">
                  <c:v>7.2</c:v>
                </c:pt>
                <c:pt idx="90">
                  <c:v>7.3</c:v>
                </c:pt>
                <c:pt idx="91">
                  <c:v>7.4</c:v>
                </c:pt>
                <c:pt idx="92">
                  <c:v>7.5</c:v>
                </c:pt>
                <c:pt idx="93">
                  <c:v>7.6</c:v>
                </c:pt>
                <c:pt idx="94">
                  <c:v>7.7</c:v>
                </c:pt>
                <c:pt idx="95">
                  <c:v>7.8</c:v>
                </c:pt>
                <c:pt idx="96">
                  <c:v>7.9</c:v>
                </c:pt>
                <c:pt idx="97">
                  <c:v>8</c:v>
                </c:pt>
                <c:pt idx="98">
                  <c:v>8.1</c:v>
                </c:pt>
                <c:pt idx="99">
                  <c:v>8.1999999999999993</c:v>
                </c:pt>
                <c:pt idx="100">
                  <c:v>8.3000000000000007</c:v>
                </c:pt>
                <c:pt idx="101">
                  <c:v>8.4</c:v>
                </c:pt>
                <c:pt idx="102">
                  <c:v>8.5</c:v>
                </c:pt>
                <c:pt idx="103">
                  <c:v>8.6</c:v>
                </c:pt>
                <c:pt idx="104">
                  <c:v>8.6999999999999993</c:v>
                </c:pt>
                <c:pt idx="105">
                  <c:v>8.8000000000000007</c:v>
                </c:pt>
                <c:pt idx="106">
                  <c:v>8.9</c:v>
                </c:pt>
              </c:numCache>
            </c:numRef>
          </c:xVal>
          <c:yVal>
            <c:numRef>
              <c:f>'Különböző gerjesztési típusok'!$X$10:$X$116</c:f>
              <c:numCache>
                <c:formatCode>General</c:formatCode>
                <c:ptCount val="107"/>
                <c:pt idx="0">
                  <c:v>0</c:v>
                </c:pt>
                <c:pt idx="1">
                  <c:v>7.5161684784218405E-2</c:v>
                </c:pt>
                <c:pt idx="2">
                  <c:v>0.15408248409599531</c:v>
                </c:pt>
                <c:pt idx="3">
                  <c:v>0.24099439021066824</c:v>
                </c:pt>
                <c:pt idx="4">
                  <c:v>0.34112434086039284</c:v>
                </c:pt>
                <c:pt idx="5">
                  <c:v>0.46124743727837586</c:v>
                </c:pt>
                <c:pt idx="6">
                  <c:v>0.60999471605320343</c:v>
                </c:pt>
                <c:pt idx="7">
                  <c:v>0.7968852811892686</c:v>
                </c:pt>
                <c:pt idx="8">
                  <c:v>1.0277210490824735</c:v>
                </c:pt>
                <c:pt idx="9">
                  <c:v>1.2948425096296952</c:v>
                </c:pt>
                <c:pt idx="10">
                  <c:v>1.3226326910275739</c:v>
                </c:pt>
                <c:pt idx="11">
                  <c:v>1.3504806675088967</c:v>
                </c:pt>
                <c:pt idx="12">
                  <c:v>1.3783483114473174</c:v>
                </c:pt>
                <c:pt idx="13">
                  <c:v>1.4061972288642461</c:v>
                </c:pt>
                <c:pt idx="14">
                  <c:v>1.4339890912207018</c:v>
                </c:pt>
                <c:pt idx="15">
                  <c:v>1.4616859657320533</c:v>
                </c:pt>
                <c:pt idx="16">
                  <c:v>1.4892506371596923</c:v>
                </c:pt>
                <c:pt idx="17">
                  <c:v>1.5166469143711843</c:v>
                </c:pt>
                <c:pt idx="18">
                  <c:v>1.5438399155554359</c:v>
                </c:pt>
                <c:pt idx="19">
                  <c:v>1.5958919760937542</c:v>
                </c:pt>
                <c:pt idx="20">
                  <c:v>1.6222826411903486</c:v>
                </c:pt>
                <c:pt idx="21">
                  <c:v>1.6483482852505145</c:v>
                </c:pt>
                <c:pt idx="22">
                  <c:v>1.6740637913297318</c:v>
                </c:pt>
                <c:pt idx="23">
                  <c:v>1.6994063919382512</c:v>
                </c:pt>
                <c:pt idx="24">
                  <c:v>1.7243557164138494</c:v>
                </c:pt>
                <c:pt idx="25">
                  <c:v>1.7488938045249085</c:v>
                </c:pt>
                <c:pt idx="26">
                  <c:v>1.7730050890026012</c:v>
                </c:pt>
                <c:pt idx="27">
                  <c:v>1.7966763502164176</c:v>
                </c:pt>
                <c:pt idx="28">
                  <c:v>1.819896646552233</c:v>
                </c:pt>
                <c:pt idx="29">
                  <c:v>2.0262992510723801</c:v>
                </c:pt>
                <c:pt idx="30">
                  <c:v>2.1879109710547917</c:v>
                </c:pt>
                <c:pt idx="31">
                  <c:v>2.3128500036411683</c:v>
                </c:pt>
                <c:pt idx="32">
                  <c:v>2.4101729718074245</c:v>
                </c:pt>
                <c:pt idx="33">
                  <c:v>2.4872071984380617</c:v>
                </c:pt>
                <c:pt idx="34">
                  <c:v>2.5493067770188684</c:v>
                </c:pt>
                <c:pt idx="35">
                  <c:v>2.6002671286723231</c:v>
                </c:pt>
                <c:pt idx="36">
                  <c:v>2.6427749307230606</c:v>
                </c:pt>
                <c:pt idx="37">
                  <c:v>2.6787525627216242</c:v>
                </c:pt>
                <c:pt idx="38">
                  <c:v>2.70959715504222</c:v>
                </c:pt>
                <c:pt idx="39">
                  <c:v>2.7363415969828537</c:v>
                </c:pt>
                <c:pt idx="40">
                  <c:v>2.759762591911747</c:v>
                </c:pt>
                <c:pt idx="41">
                  <c:v>2.7804537474653541</c:v>
                </c:pt>
                <c:pt idx="42">
                  <c:v>2.7988756591396076</c:v>
                </c:pt>
                <c:pt idx="43">
                  <c:v>2.8153907479270197</c:v>
                </c:pt>
                <c:pt idx="44">
                  <c:v>2.8302878730351102</c:v>
                </c:pt>
                <c:pt idx="45">
                  <c:v>2.8437999897320756</c:v>
                </c:pt>
                <c:pt idx="46">
                  <c:v>2.8561170059919663</c:v>
                </c:pt>
                <c:pt idx="47">
                  <c:v>2.8673952753646637</c:v>
                </c:pt>
                <c:pt idx="48">
                  <c:v>2.8777646990802261</c:v>
                </c:pt>
                <c:pt idx="49">
                  <c:v>2.8873341054457451</c:v>
                </c:pt>
                <c:pt idx="50">
                  <c:v>2.8961953716373174</c:v>
                </c:pt>
                <c:pt idx="51">
                  <c:v>2.9044266160609276</c:v>
                </c:pt>
                <c:pt idx="52">
                  <c:v>2.9120946958232827</c:v>
                </c:pt>
                <c:pt idx="53">
                  <c:v>2.9192571789864949</c:v>
                </c:pt>
                <c:pt idx="54">
                  <c:v>2.9259639157750152</c:v>
                </c:pt>
                <c:pt idx="55">
                  <c:v>2.9322583005959522</c:v>
                </c:pt>
                <c:pt idx="56">
                  <c:v>2.9381782935342553</c:v>
                </c:pt>
                <c:pt idx="57">
                  <c:v>2.9437572531435916</c:v>
                </c:pt>
                <c:pt idx="58">
                  <c:v>2.9490246200031272</c:v>
                </c:pt>
                <c:pt idx="59">
                  <c:v>2.9540064813642819</c:v>
                </c:pt>
                <c:pt idx="60">
                  <c:v>2.9587260403757631</c:v>
                </c:pt>
                <c:pt idx="61">
                  <c:v>2.9632040082213846</c:v>
                </c:pt>
                <c:pt idx="62">
                  <c:v>2.9674589335872357</c:v>
                </c:pt>
                <c:pt idx="63">
                  <c:v>2.9715074808727708</c:v>
                </c:pt>
                <c:pt idx="64">
                  <c:v>2.9753646662430935</c:v>
                </c:pt>
                <c:pt idx="65">
                  <c:v>2.9790440588181299</c:v>
                </c:pt>
                <c:pt idx="66">
                  <c:v>2.9825579528843544</c:v>
                </c:pt>
                <c:pt idx="67">
                  <c:v>2.985917515904005</c:v>
                </c:pt>
                <c:pt idx="68">
                  <c:v>2.9891329162164499</c:v>
                </c:pt>
                <c:pt idx="69">
                  <c:v>2.9922134336246047</c:v>
                </c:pt>
                <c:pt idx="70">
                  <c:v>2.9951675554967911</c:v>
                </c:pt>
                <c:pt idx="71">
                  <c:v>2.998003060561099</c:v>
                </c:pt>
                <c:pt idx="72">
                  <c:v>3.0007270922021281</c:v>
                </c:pt>
                <c:pt idx="73">
                  <c:v>3.0033462227711394</c:v>
                </c:pt>
                <c:pt idx="74">
                  <c:v>3.0058665101762783</c:v>
                </c:pt>
                <c:pt idx="75">
                  <c:v>3.0082935478188086</c:v>
                </c:pt>
                <c:pt idx="76">
                  <c:v>3.0106325087757582</c:v>
                </c:pt>
                <c:pt idx="77">
                  <c:v>3.0128881849922431</c:v>
                </c:pt>
                <c:pt idx="78">
                  <c:v>3.0150650221327293</c:v>
                </c:pt>
                <c:pt idx="79">
                  <c:v>3.0171671506453408</c:v>
                </c:pt>
                <c:pt idx="80">
                  <c:v>3.0191984135135952</c:v>
                </c:pt>
                <c:pt idx="81">
                  <c:v>3.0211623911029606</c:v>
                </c:pt>
                <c:pt idx="82">
                  <c:v>3.0230624234531027</c:v>
                </c:pt>
                <c:pt idx="83">
                  <c:v>3.024901630318884</c:v>
                </c:pt>
                <c:pt idx="84">
                  <c:v>3.0266829292225719</c:v>
                </c:pt>
                <c:pt idx="85">
                  <c:v>3.0284090517451832</c:v>
                </c:pt>
                <c:pt idx="86">
                  <c:v>3.0300825582553612</c:v>
                </c:pt>
                <c:pt idx="87">
                  <c:v>3.0317058512489421</c:v>
                </c:pt>
                <c:pt idx="88">
                  <c:v>3.0332811874506689</c:v>
                </c:pt>
                <c:pt idx="89">
                  <c:v>3.034810688810841</c:v>
                </c:pt>
                <c:pt idx="90">
                  <c:v>3.0362963525135847</c:v>
                </c:pt>
                <c:pt idx="91">
                  <c:v>3.0377400600994888</c:v>
                </c:pt>
                <c:pt idx="92">
                  <c:v>3.0391435857932616</c:v>
                </c:pt>
                <c:pt idx="93">
                  <c:v>3.0405086041165643</c:v>
                </c:pt>
                <c:pt idx="94">
                  <c:v>3.0418366968570356</c:v>
                </c:pt>
                <c:pt idx="95">
                  <c:v>3.0431293594565156</c:v>
                </c:pt>
                <c:pt idx="96">
                  <c:v>3.0443880068745113</c:v>
                </c:pt>
                <c:pt idx="97">
                  <c:v>3.0456139789768142</c:v>
                </c:pt>
                <c:pt idx="98">
                  <c:v>3.0468085454937954</c:v>
                </c:pt>
                <c:pt idx="99">
                  <c:v>3.0479729105881872</c:v>
                </c:pt>
                <c:pt idx="100">
                  <c:v>3.0491082170679666</c:v>
                </c:pt>
                <c:pt idx="101">
                  <c:v>3.0502155502763015</c:v>
                </c:pt>
                <c:pt idx="102">
                  <c:v>3.0512959416872216</c:v>
                </c:pt>
                <c:pt idx="103">
                  <c:v>3.0523503722328313</c:v>
                </c:pt>
                <c:pt idx="104">
                  <c:v>3.0533797753852761</c:v>
                </c:pt>
                <c:pt idx="105">
                  <c:v>3.0543850400144237</c:v>
                </c:pt>
                <c:pt idx="106">
                  <c:v>3.0553670130401809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990-4195-BBEA-CC1BC0B5E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880880"/>
        <c:axId val="460884488"/>
      </c:scatterChart>
      <c:valAx>
        <c:axId val="4608808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60884488"/>
        <c:crosses val="autoZero"/>
        <c:crossBetween val="midCat"/>
      </c:valAx>
      <c:valAx>
        <c:axId val="460884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608808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 eset Nagyítás, fázisszög diagrammok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'Különböző gerjesztési típusok'!$Z$9</c:f>
              <c:strCache>
                <c:ptCount val="1"/>
                <c:pt idx="0">
                  <c:v>N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'Különböző gerjesztési típusok'!$V$10:$V$116</c:f>
              <c:numCache>
                <c:formatCode>General</c:formatCode>
                <c:ptCount val="107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0.91</c:v>
                </c:pt>
                <c:pt idx="11">
                  <c:v>0.92</c:v>
                </c:pt>
                <c:pt idx="12">
                  <c:v>0.93</c:v>
                </c:pt>
                <c:pt idx="13">
                  <c:v>0.94</c:v>
                </c:pt>
                <c:pt idx="14">
                  <c:v>0.95</c:v>
                </c:pt>
                <c:pt idx="15">
                  <c:v>0.96</c:v>
                </c:pt>
                <c:pt idx="16">
                  <c:v>0.97</c:v>
                </c:pt>
                <c:pt idx="17">
                  <c:v>0.98</c:v>
                </c:pt>
                <c:pt idx="18">
                  <c:v>0.99</c:v>
                </c:pt>
                <c:pt idx="19">
                  <c:v>1.01</c:v>
                </c:pt>
                <c:pt idx="20">
                  <c:v>1.02</c:v>
                </c:pt>
                <c:pt idx="21">
                  <c:v>1.03</c:v>
                </c:pt>
                <c:pt idx="22">
                  <c:v>1.04</c:v>
                </c:pt>
                <c:pt idx="23">
                  <c:v>1.05</c:v>
                </c:pt>
                <c:pt idx="24">
                  <c:v>1.06</c:v>
                </c:pt>
                <c:pt idx="25">
                  <c:v>1.07</c:v>
                </c:pt>
                <c:pt idx="26">
                  <c:v>1.08</c:v>
                </c:pt>
                <c:pt idx="27">
                  <c:v>1.0900000000000001</c:v>
                </c:pt>
                <c:pt idx="28">
                  <c:v>1.1000000000000001</c:v>
                </c:pt>
                <c:pt idx="29">
                  <c:v>1.2</c:v>
                </c:pt>
                <c:pt idx="30">
                  <c:v>1.3</c:v>
                </c:pt>
                <c:pt idx="31">
                  <c:v>1.4</c:v>
                </c:pt>
                <c:pt idx="32">
                  <c:v>1.5</c:v>
                </c:pt>
                <c:pt idx="33">
                  <c:v>1.6</c:v>
                </c:pt>
                <c:pt idx="34">
                  <c:v>1.7</c:v>
                </c:pt>
                <c:pt idx="35">
                  <c:v>1.8</c:v>
                </c:pt>
                <c:pt idx="36">
                  <c:v>1.9</c:v>
                </c:pt>
                <c:pt idx="37">
                  <c:v>2</c:v>
                </c:pt>
                <c:pt idx="38">
                  <c:v>2.1</c:v>
                </c:pt>
                <c:pt idx="39">
                  <c:v>2.2000000000000002</c:v>
                </c:pt>
                <c:pt idx="40">
                  <c:v>2.2999999999999998</c:v>
                </c:pt>
                <c:pt idx="41">
                  <c:v>2.4</c:v>
                </c:pt>
                <c:pt idx="42">
                  <c:v>2.5</c:v>
                </c:pt>
                <c:pt idx="43">
                  <c:v>2.6</c:v>
                </c:pt>
                <c:pt idx="44">
                  <c:v>2.7</c:v>
                </c:pt>
                <c:pt idx="45">
                  <c:v>2.8</c:v>
                </c:pt>
                <c:pt idx="46">
                  <c:v>2.9</c:v>
                </c:pt>
                <c:pt idx="47">
                  <c:v>3</c:v>
                </c:pt>
                <c:pt idx="48">
                  <c:v>3.1</c:v>
                </c:pt>
                <c:pt idx="49">
                  <c:v>3.2</c:v>
                </c:pt>
                <c:pt idx="50">
                  <c:v>3.3</c:v>
                </c:pt>
                <c:pt idx="51">
                  <c:v>3.4</c:v>
                </c:pt>
                <c:pt idx="52">
                  <c:v>3.5</c:v>
                </c:pt>
                <c:pt idx="53">
                  <c:v>3.6</c:v>
                </c:pt>
                <c:pt idx="54">
                  <c:v>3.7</c:v>
                </c:pt>
                <c:pt idx="55">
                  <c:v>3.8</c:v>
                </c:pt>
                <c:pt idx="56">
                  <c:v>3.9</c:v>
                </c:pt>
                <c:pt idx="57">
                  <c:v>4</c:v>
                </c:pt>
                <c:pt idx="58">
                  <c:v>4.0999999999999996</c:v>
                </c:pt>
                <c:pt idx="59">
                  <c:v>4.2</c:v>
                </c:pt>
                <c:pt idx="60">
                  <c:v>4.3</c:v>
                </c:pt>
                <c:pt idx="61">
                  <c:v>4.4000000000000004</c:v>
                </c:pt>
                <c:pt idx="62">
                  <c:v>4.5</c:v>
                </c:pt>
                <c:pt idx="63">
                  <c:v>4.5999999999999996</c:v>
                </c:pt>
                <c:pt idx="64">
                  <c:v>4.7</c:v>
                </c:pt>
                <c:pt idx="65">
                  <c:v>4.8</c:v>
                </c:pt>
                <c:pt idx="66">
                  <c:v>4.9000000000000004</c:v>
                </c:pt>
                <c:pt idx="67">
                  <c:v>5</c:v>
                </c:pt>
                <c:pt idx="68">
                  <c:v>5.0999999999999996</c:v>
                </c:pt>
                <c:pt idx="69">
                  <c:v>5.2</c:v>
                </c:pt>
                <c:pt idx="70">
                  <c:v>5.3</c:v>
                </c:pt>
                <c:pt idx="71">
                  <c:v>5.4</c:v>
                </c:pt>
                <c:pt idx="72">
                  <c:v>5.5</c:v>
                </c:pt>
                <c:pt idx="73">
                  <c:v>5.6</c:v>
                </c:pt>
                <c:pt idx="74">
                  <c:v>5.7</c:v>
                </c:pt>
                <c:pt idx="75">
                  <c:v>5.8</c:v>
                </c:pt>
                <c:pt idx="76">
                  <c:v>5.9</c:v>
                </c:pt>
                <c:pt idx="77">
                  <c:v>6</c:v>
                </c:pt>
                <c:pt idx="78">
                  <c:v>6.1</c:v>
                </c:pt>
                <c:pt idx="79">
                  <c:v>6.2</c:v>
                </c:pt>
                <c:pt idx="80">
                  <c:v>6.3</c:v>
                </c:pt>
                <c:pt idx="81">
                  <c:v>6.4</c:v>
                </c:pt>
                <c:pt idx="82">
                  <c:v>6.5</c:v>
                </c:pt>
                <c:pt idx="83">
                  <c:v>6.6</c:v>
                </c:pt>
                <c:pt idx="84">
                  <c:v>6.7</c:v>
                </c:pt>
                <c:pt idx="85">
                  <c:v>6.8</c:v>
                </c:pt>
                <c:pt idx="86">
                  <c:v>6.9</c:v>
                </c:pt>
                <c:pt idx="87">
                  <c:v>7</c:v>
                </c:pt>
                <c:pt idx="88">
                  <c:v>7.1</c:v>
                </c:pt>
                <c:pt idx="89">
                  <c:v>7.2</c:v>
                </c:pt>
                <c:pt idx="90">
                  <c:v>7.3</c:v>
                </c:pt>
                <c:pt idx="91">
                  <c:v>7.4</c:v>
                </c:pt>
                <c:pt idx="92">
                  <c:v>7.5</c:v>
                </c:pt>
                <c:pt idx="93">
                  <c:v>7.6</c:v>
                </c:pt>
                <c:pt idx="94">
                  <c:v>7.7</c:v>
                </c:pt>
                <c:pt idx="95">
                  <c:v>7.8</c:v>
                </c:pt>
                <c:pt idx="96">
                  <c:v>7.9</c:v>
                </c:pt>
                <c:pt idx="97">
                  <c:v>8</c:v>
                </c:pt>
                <c:pt idx="98">
                  <c:v>8.1</c:v>
                </c:pt>
                <c:pt idx="99">
                  <c:v>8.1999999999999993</c:v>
                </c:pt>
                <c:pt idx="100">
                  <c:v>8.3000000000000007</c:v>
                </c:pt>
                <c:pt idx="101">
                  <c:v>8.4</c:v>
                </c:pt>
                <c:pt idx="102">
                  <c:v>8.5</c:v>
                </c:pt>
                <c:pt idx="103">
                  <c:v>8.6</c:v>
                </c:pt>
                <c:pt idx="104">
                  <c:v>8.6999999999999993</c:v>
                </c:pt>
                <c:pt idx="105">
                  <c:v>8.8000000000000007</c:v>
                </c:pt>
                <c:pt idx="106">
                  <c:v>8.9</c:v>
                </c:pt>
              </c:numCache>
            </c:numRef>
          </c:xVal>
          <c:yVal>
            <c:numRef>
              <c:f>'Különböző gerjesztési típusok'!$Z$10:$Z$116</c:f>
              <c:numCache>
                <c:formatCode>General</c:formatCode>
                <c:ptCount val="107"/>
                <c:pt idx="0">
                  <c:v>1</c:v>
                </c:pt>
                <c:pt idx="1">
                  <c:v>1.0100443372434009</c:v>
                </c:pt>
                <c:pt idx="2">
                  <c:v>1.0407044289691625</c:v>
                </c:pt>
                <c:pt idx="3">
                  <c:v>1.0935077143368783</c:v>
                </c:pt>
                <c:pt idx="4">
                  <c:v>1.1706989844480529</c:v>
                </c:pt>
                <c:pt idx="5">
                  <c:v>1.2742499630331301</c:v>
                </c:pt>
                <c:pt idx="6">
                  <c:v>1.4029885390567589</c:v>
                </c:pt>
                <c:pt idx="7">
                  <c:v>1.5458535890380796</c:v>
                </c:pt>
                <c:pt idx="8">
                  <c:v>1.6713880266321344</c:v>
                </c:pt>
                <c:pt idx="9">
                  <c:v>1.7269022140021908</c:v>
                </c:pt>
                <c:pt idx="10">
                  <c:v>1.7266624932561794</c:v>
                </c:pt>
                <c:pt idx="11">
                  <c:v>1.725259199800764</c:v>
                </c:pt>
                <c:pt idx="12">
                  <c:v>1.7226870744124116</c:v>
                </c:pt>
                <c:pt idx="13">
                  <c:v>1.7189485924223502</c:v>
                </c:pt>
                <c:pt idx="14">
                  <c:v>1.7140539471400262</c:v>
                </c:pt>
                <c:pt idx="15">
                  <c:v>1.7080208950546243</c:v>
                </c:pt>
                <c:pt idx="16">
                  <c:v>1.7008744676661463</c:v>
                </c:pt>
                <c:pt idx="17">
                  <c:v>1.6926465593621707</c:v>
                </c:pt>
                <c:pt idx="18">
                  <c:v>1.6833754048056444</c:v>
                </c:pt>
                <c:pt idx="19">
                  <c:v>1.6618842245921259</c:v>
                </c:pt>
                <c:pt idx="20">
                  <c:v>1.649766471091612</c:v>
                </c:pt>
                <c:pt idx="21">
                  <c:v>1.636808493865666</c:v>
                </c:pt>
                <c:pt idx="22">
                  <c:v>1.623069806942909</c:v>
                </c:pt>
                <c:pt idx="23">
                  <c:v>1.6086118650785453</c:v>
                </c:pt>
                <c:pt idx="24">
                  <c:v>1.5934973072262435</c:v>
                </c:pt>
                <c:pt idx="25">
                  <c:v>1.5777892400583051</c:v>
                </c:pt>
                <c:pt idx="26">
                  <c:v>1.5615505737761166</c:v>
                </c:pt>
                <c:pt idx="27">
                  <c:v>1.5448434195321104</c:v>
                </c:pt>
                <c:pt idx="28">
                  <c:v>1.5277285548833468</c:v>
                </c:pt>
                <c:pt idx="29">
                  <c:v>1.3458576737289847</c:v>
                </c:pt>
                <c:pt idx="30">
                  <c:v>1.1705349223419161</c:v>
                </c:pt>
                <c:pt idx="31">
                  <c:v>1.0193071388236681</c:v>
                </c:pt>
                <c:pt idx="32">
                  <c:v>0.89444706539290686</c:v>
                </c:pt>
                <c:pt idx="33">
                  <c:v>0.79262442498496877</c:v>
                </c:pt>
                <c:pt idx="34">
                  <c:v>0.70943102509868095</c:v>
                </c:pt>
                <c:pt idx="35">
                  <c:v>0.64090868934114553</c:v>
                </c:pt>
                <c:pt idx="36">
                  <c:v>0.58388055961691576</c:v>
                </c:pt>
                <c:pt idx="37">
                  <c:v>0.53589661232108809</c:v>
                </c:pt>
                <c:pt idx="38">
                  <c:v>0.49508992374268201</c:v>
                </c:pt>
                <c:pt idx="39">
                  <c:v>0.46003734673386915</c:v>
                </c:pt>
                <c:pt idx="40">
                  <c:v>0.42964730185450006</c:v>
                </c:pt>
                <c:pt idx="41">
                  <c:v>0.40307509356801002</c:v>
                </c:pt>
                <c:pt idx="42">
                  <c:v>0.37966054861566118</c:v>
                </c:pt>
                <c:pt idx="43">
                  <c:v>0.35888241558288608</c:v>
                </c:pt>
                <c:pt idx="44">
                  <c:v>0.34032497406971268</c:v>
                </c:pt>
                <c:pt idx="45">
                  <c:v>0.3236534448249766</c:v>
                </c:pt>
                <c:pt idx="46">
                  <c:v>0.30859573814867081</c:v>
                </c:pt>
                <c:pt idx="47">
                  <c:v>0.29492878572081638</c:v>
                </c:pt>
                <c:pt idx="48">
                  <c:v>0.28246820927733224</c:v>
                </c:pt>
                <c:pt idx="49">
                  <c:v>0.27106043835414945</c:v>
                </c:pt>
                <c:pt idx="50">
                  <c:v>0.26057664129413627</c:v>
                </c:pt>
                <c:pt idx="51">
                  <c:v>0.25090801084529307</c:v>
                </c:pt>
                <c:pt idx="52">
                  <c:v>0.24196207076151519</c:v>
                </c:pt>
                <c:pt idx="53">
                  <c:v>0.23365975871422945</c:v>
                </c:pt>
                <c:pt idx="54">
                  <c:v>0.22593310447835377</c:v>
                </c:pt>
                <c:pt idx="55">
                  <c:v>0.21872336830459824</c:v>
                </c:pt>
                <c:pt idx="56">
                  <c:v>0.21197953783252194</c:v>
                </c:pt>
                <c:pt idx="57">
                  <c:v>0.20565710644113422</c:v>
                </c:pt>
                <c:pt idx="58">
                  <c:v>0.19971707409240477</c:v>
                </c:pt>
                <c:pt idx="59">
                  <c:v>0.194125125265945</c:v>
                </c:pt>
                <c:pt idx="60">
                  <c:v>0.18885094876209294</c:v>
                </c:pt>
                <c:pt idx="61">
                  <c:v>0.18386767185870082</c:v>
                </c:pt>
                <c:pt idx="62">
                  <c:v>0.17915138718611737</c:v>
                </c:pt>
                <c:pt idx="63">
                  <c:v>0.17468075520029619</c:v>
                </c:pt>
                <c:pt idx="64">
                  <c:v>0.17043666862515006</c:v>
                </c:pt>
                <c:pt idx="65">
                  <c:v>0.16640196795183401</c:v>
                </c:pt>
                <c:pt idx="66">
                  <c:v>0.16256119920944659</c:v>
                </c:pt>
                <c:pt idx="67">
                  <c:v>0.15890040689653112</c:v>
                </c:pt>
                <c:pt idx="68">
                  <c:v>0.15540695628921525</c:v>
                </c:pt>
                <c:pt idx="69">
                  <c:v>0.15206938039803086</c:v>
                </c:pt>
                <c:pt idx="70">
                  <c:v>0.14887724769084026</c:v>
                </c:pt>
                <c:pt idx="71">
                  <c:v>0.1458210473793167</c:v>
                </c:pt>
                <c:pt idx="72">
                  <c:v>0.14289208961605529</c:v>
                </c:pt>
                <c:pt idx="73">
                  <c:v>0.14008241839567329</c:v>
                </c:pt>
                <c:pt idx="74">
                  <c:v>0.13738473531723114</c:v>
                </c:pt>
                <c:pt idx="75">
                  <c:v>0.13479233266341348</c:v>
                </c:pt>
                <c:pt idx="76">
                  <c:v>0.13229903449707073</c:v>
                </c:pt>
                <c:pt idx="77">
                  <c:v>0.12989914467813624</c:v>
                </c:pt>
                <c:pt idx="78">
                  <c:v>0.12758740087168868</c:v>
                </c:pt>
                <c:pt idx="79">
                  <c:v>0.1253589337574704</c:v>
                </c:pt>
                <c:pt idx="80">
                  <c:v>0.12320923076765211</c:v>
                </c:pt>
                <c:pt idx="81">
                  <c:v>0.1211341037771968</c:v>
                </c:pt>
                <c:pt idx="82">
                  <c:v>0.11912966025316223</c:v>
                </c:pt>
                <c:pt idx="83">
                  <c:v>0.11719227743839611</c:v>
                </c:pt>
                <c:pt idx="84">
                  <c:v>0.11531857920352273</c:v>
                </c:pt>
                <c:pt idx="85">
                  <c:v>0.11350541525068543</c:v>
                </c:pt>
                <c:pt idx="86">
                  <c:v>0.11174984239466931</c:v>
                </c:pt>
                <c:pt idx="87">
                  <c:v>0.11004910768298605</c:v>
                </c:pt>
                <c:pt idx="88">
                  <c:v>0.10840063314725243</c:v>
                </c:pt>
                <c:pt idx="89">
                  <c:v>0.1068020020045634</c:v>
                </c:pt>
                <c:pt idx="90">
                  <c:v>0.105250946150223</c:v>
                </c:pt>
                <c:pt idx="91">
                  <c:v>0.1037453348027285</c:v>
                </c:pt>
                <c:pt idx="92">
                  <c:v>0.10228316417877106</c:v>
                </c:pt>
                <c:pt idx="93">
                  <c:v>0.10086254809062173</c:v>
                </c:pt>
                <c:pt idx="94">
                  <c:v>9.9481709370941987E-2</c:v>
                </c:pt>
                <c:pt idx="95">
                  <c:v>9.8138972041078076E-2</c:v>
                </c:pt>
                <c:pt idx="96">
                  <c:v>9.6832754148498526E-2</c:v>
                </c:pt>
                <c:pt idx="97">
                  <c:v>9.5561561207419862E-2</c:v>
                </c:pt>
                <c:pt idx="98">
                  <c:v>9.4323980183998776E-2</c:v>
                </c:pt>
                <c:pt idx="99">
                  <c:v>9.3118673973900765E-2</c:v>
                </c:pt>
                <c:pt idx="100">
                  <c:v>9.1944376325701474E-2</c:v>
                </c:pt>
                <c:pt idx="101">
                  <c:v>9.0799887168546048E-2</c:v>
                </c:pt>
                <c:pt idx="102">
                  <c:v>8.9684068306872103E-2</c:v>
                </c:pt>
                <c:pt idx="103">
                  <c:v>8.8595839448868369E-2</c:v>
                </c:pt>
                <c:pt idx="104">
                  <c:v>8.7534174538762111E-2</c:v>
                </c:pt>
                <c:pt idx="105">
                  <c:v>8.6498098366058346E-2</c:v>
                </c:pt>
                <c:pt idx="106">
                  <c:v>8.5486683427543064E-2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66-42DA-9A41-9994F2CB1F92}"/>
            </c:ext>
          </c:extLst>
        </c:ser>
        <c:ser>
          <c:idx val="1"/>
          <c:order val="1"/>
          <c:tx>
            <c:strRef>
              <c:f>'Különböző gerjesztési típusok'!$AA$9</c:f>
              <c:strCache>
                <c:ptCount val="1"/>
                <c:pt idx="0">
                  <c:v>fazisszog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'Különböző gerjesztési típusok'!$V$10:$V$116</c:f>
              <c:numCache>
                <c:formatCode>General</c:formatCode>
                <c:ptCount val="107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0.91</c:v>
                </c:pt>
                <c:pt idx="11">
                  <c:v>0.92</c:v>
                </c:pt>
                <c:pt idx="12">
                  <c:v>0.93</c:v>
                </c:pt>
                <c:pt idx="13">
                  <c:v>0.94</c:v>
                </c:pt>
                <c:pt idx="14">
                  <c:v>0.95</c:v>
                </c:pt>
                <c:pt idx="15">
                  <c:v>0.96</c:v>
                </c:pt>
                <c:pt idx="16">
                  <c:v>0.97</c:v>
                </c:pt>
                <c:pt idx="17">
                  <c:v>0.98</c:v>
                </c:pt>
                <c:pt idx="18">
                  <c:v>0.99</c:v>
                </c:pt>
                <c:pt idx="19">
                  <c:v>1.01</c:v>
                </c:pt>
                <c:pt idx="20">
                  <c:v>1.02</c:v>
                </c:pt>
                <c:pt idx="21">
                  <c:v>1.03</c:v>
                </c:pt>
                <c:pt idx="22">
                  <c:v>1.04</c:v>
                </c:pt>
                <c:pt idx="23">
                  <c:v>1.05</c:v>
                </c:pt>
                <c:pt idx="24">
                  <c:v>1.06</c:v>
                </c:pt>
                <c:pt idx="25">
                  <c:v>1.07</c:v>
                </c:pt>
                <c:pt idx="26">
                  <c:v>1.08</c:v>
                </c:pt>
                <c:pt idx="27">
                  <c:v>1.0900000000000001</c:v>
                </c:pt>
                <c:pt idx="28">
                  <c:v>1.1000000000000001</c:v>
                </c:pt>
                <c:pt idx="29">
                  <c:v>1.2</c:v>
                </c:pt>
                <c:pt idx="30">
                  <c:v>1.3</c:v>
                </c:pt>
                <c:pt idx="31">
                  <c:v>1.4</c:v>
                </c:pt>
                <c:pt idx="32">
                  <c:v>1.5</c:v>
                </c:pt>
                <c:pt idx="33">
                  <c:v>1.6</c:v>
                </c:pt>
                <c:pt idx="34">
                  <c:v>1.7</c:v>
                </c:pt>
                <c:pt idx="35">
                  <c:v>1.8</c:v>
                </c:pt>
                <c:pt idx="36">
                  <c:v>1.9</c:v>
                </c:pt>
                <c:pt idx="37">
                  <c:v>2</c:v>
                </c:pt>
                <c:pt idx="38">
                  <c:v>2.1</c:v>
                </c:pt>
                <c:pt idx="39">
                  <c:v>2.2000000000000002</c:v>
                </c:pt>
                <c:pt idx="40">
                  <c:v>2.2999999999999998</c:v>
                </c:pt>
                <c:pt idx="41">
                  <c:v>2.4</c:v>
                </c:pt>
                <c:pt idx="42">
                  <c:v>2.5</c:v>
                </c:pt>
                <c:pt idx="43">
                  <c:v>2.6</c:v>
                </c:pt>
                <c:pt idx="44">
                  <c:v>2.7</c:v>
                </c:pt>
                <c:pt idx="45">
                  <c:v>2.8</c:v>
                </c:pt>
                <c:pt idx="46">
                  <c:v>2.9</c:v>
                </c:pt>
                <c:pt idx="47">
                  <c:v>3</c:v>
                </c:pt>
                <c:pt idx="48">
                  <c:v>3.1</c:v>
                </c:pt>
                <c:pt idx="49">
                  <c:v>3.2</c:v>
                </c:pt>
                <c:pt idx="50">
                  <c:v>3.3</c:v>
                </c:pt>
                <c:pt idx="51">
                  <c:v>3.4</c:v>
                </c:pt>
                <c:pt idx="52">
                  <c:v>3.5</c:v>
                </c:pt>
                <c:pt idx="53">
                  <c:v>3.6</c:v>
                </c:pt>
                <c:pt idx="54">
                  <c:v>3.7</c:v>
                </c:pt>
                <c:pt idx="55">
                  <c:v>3.8</c:v>
                </c:pt>
                <c:pt idx="56">
                  <c:v>3.9</c:v>
                </c:pt>
                <c:pt idx="57">
                  <c:v>4</c:v>
                </c:pt>
                <c:pt idx="58">
                  <c:v>4.0999999999999996</c:v>
                </c:pt>
                <c:pt idx="59">
                  <c:v>4.2</c:v>
                </c:pt>
                <c:pt idx="60">
                  <c:v>4.3</c:v>
                </c:pt>
                <c:pt idx="61">
                  <c:v>4.4000000000000004</c:v>
                </c:pt>
                <c:pt idx="62">
                  <c:v>4.5</c:v>
                </c:pt>
                <c:pt idx="63">
                  <c:v>4.5999999999999996</c:v>
                </c:pt>
                <c:pt idx="64">
                  <c:v>4.7</c:v>
                </c:pt>
                <c:pt idx="65">
                  <c:v>4.8</c:v>
                </c:pt>
                <c:pt idx="66">
                  <c:v>4.9000000000000004</c:v>
                </c:pt>
                <c:pt idx="67">
                  <c:v>5</c:v>
                </c:pt>
                <c:pt idx="68">
                  <c:v>5.0999999999999996</c:v>
                </c:pt>
                <c:pt idx="69">
                  <c:v>5.2</c:v>
                </c:pt>
                <c:pt idx="70">
                  <c:v>5.3</c:v>
                </c:pt>
                <c:pt idx="71">
                  <c:v>5.4</c:v>
                </c:pt>
                <c:pt idx="72">
                  <c:v>5.5</c:v>
                </c:pt>
                <c:pt idx="73">
                  <c:v>5.6</c:v>
                </c:pt>
                <c:pt idx="74">
                  <c:v>5.7</c:v>
                </c:pt>
                <c:pt idx="75">
                  <c:v>5.8</c:v>
                </c:pt>
                <c:pt idx="76">
                  <c:v>5.9</c:v>
                </c:pt>
                <c:pt idx="77">
                  <c:v>6</c:v>
                </c:pt>
                <c:pt idx="78">
                  <c:v>6.1</c:v>
                </c:pt>
                <c:pt idx="79">
                  <c:v>6.2</c:v>
                </c:pt>
                <c:pt idx="80">
                  <c:v>6.3</c:v>
                </c:pt>
                <c:pt idx="81">
                  <c:v>6.4</c:v>
                </c:pt>
                <c:pt idx="82">
                  <c:v>6.5</c:v>
                </c:pt>
                <c:pt idx="83">
                  <c:v>6.6</c:v>
                </c:pt>
                <c:pt idx="84">
                  <c:v>6.7</c:v>
                </c:pt>
                <c:pt idx="85">
                  <c:v>6.8</c:v>
                </c:pt>
                <c:pt idx="86">
                  <c:v>6.9</c:v>
                </c:pt>
                <c:pt idx="87">
                  <c:v>7</c:v>
                </c:pt>
                <c:pt idx="88">
                  <c:v>7.1</c:v>
                </c:pt>
                <c:pt idx="89">
                  <c:v>7.2</c:v>
                </c:pt>
                <c:pt idx="90">
                  <c:v>7.3</c:v>
                </c:pt>
                <c:pt idx="91">
                  <c:v>7.4</c:v>
                </c:pt>
                <c:pt idx="92">
                  <c:v>7.5</c:v>
                </c:pt>
                <c:pt idx="93">
                  <c:v>7.6</c:v>
                </c:pt>
                <c:pt idx="94">
                  <c:v>7.7</c:v>
                </c:pt>
                <c:pt idx="95">
                  <c:v>7.8</c:v>
                </c:pt>
                <c:pt idx="96">
                  <c:v>7.9</c:v>
                </c:pt>
                <c:pt idx="97">
                  <c:v>8</c:v>
                </c:pt>
                <c:pt idx="98">
                  <c:v>8.1</c:v>
                </c:pt>
                <c:pt idx="99">
                  <c:v>8.1999999999999993</c:v>
                </c:pt>
                <c:pt idx="100">
                  <c:v>8.3000000000000007</c:v>
                </c:pt>
                <c:pt idx="101">
                  <c:v>8.4</c:v>
                </c:pt>
                <c:pt idx="102">
                  <c:v>8.5</c:v>
                </c:pt>
                <c:pt idx="103">
                  <c:v>8.6</c:v>
                </c:pt>
                <c:pt idx="104">
                  <c:v>8.6999999999999993</c:v>
                </c:pt>
                <c:pt idx="105">
                  <c:v>8.8000000000000007</c:v>
                </c:pt>
                <c:pt idx="106">
                  <c:v>8.9</c:v>
                </c:pt>
              </c:numCache>
            </c:numRef>
          </c:xVal>
          <c:yVal>
            <c:numRef>
              <c:f>'Különböző gerjesztési típusok'!$AA$10:$AA$116</c:f>
              <c:numCache>
                <c:formatCode>General</c:formatCode>
                <c:ptCount val="107"/>
                <c:pt idx="0">
                  <c:v>0</c:v>
                </c:pt>
                <c:pt idx="1">
                  <c:v>7.5161684784218405E-2</c:v>
                </c:pt>
                <c:pt idx="2">
                  <c:v>0.15408248409599531</c:v>
                </c:pt>
                <c:pt idx="3">
                  <c:v>0.24099439021066824</c:v>
                </c:pt>
                <c:pt idx="4">
                  <c:v>0.34112434086039284</c:v>
                </c:pt>
                <c:pt idx="5">
                  <c:v>0.46124743727837586</c:v>
                </c:pt>
                <c:pt idx="6">
                  <c:v>0.60999471605320343</c:v>
                </c:pt>
                <c:pt idx="7">
                  <c:v>0.7968852811892686</c:v>
                </c:pt>
                <c:pt idx="8">
                  <c:v>1.0277210490824735</c:v>
                </c:pt>
                <c:pt idx="9">
                  <c:v>1.2948425096296952</c:v>
                </c:pt>
                <c:pt idx="10">
                  <c:v>1.3226326910275739</c:v>
                </c:pt>
                <c:pt idx="11">
                  <c:v>1.3504806675088967</c:v>
                </c:pt>
                <c:pt idx="12">
                  <c:v>1.3783483114473174</c:v>
                </c:pt>
                <c:pt idx="13">
                  <c:v>1.4061972288642461</c:v>
                </c:pt>
                <c:pt idx="14">
                  <c:v>1.4339890912207018</c:v>
                </c:pt>
                <c:pt idx="15">
                  <c:v>1.4616859657320533</c:v>
                </c:pt>
                <c:pt idx="16">
                  <c:v>1.4892506371596923</c:v>
                </c:pt>
                <c:pt idx="17">
                  <c:v>1.5166469143711843</c:v>
                </c:pt>
                <c:pt idx="18">
                  <c:v>1.5438399155554359</c:v>
                </c:pt>
                <c:pt idx="19">
                  <c:v>1.5958919760937542</c:v>
                </c:pt>
                <c:pt idx="20">
                  <c:v>1.6222826411903486</c:v>
                </c:pt>
                <c:pt idx="21">
                  <c:v>1.6483482852505145</c:v>
                </c:pt>
                <c:pt idx="22">
                  <c:v>1.6740637913297318</c:v>
                </c:pt>
                <c:pt idx="23">
                  <c:v>1.6994063919382512</c:v>
                </c:pt>
                <c:pt idx="24">
                  <c:v>1.7243557164138494</c:v>
                </c:pt>
                <c:pt idx="25">
                  <c:v>1.7488938045249085</c:v>
                </c:pt>
                <c:pt idx="26">
                  <c:v>1.7730050890026012</c:v>
                </c:pt>
                <c:pt idx="27">
                  <c:v>1.7966763502164176</c:v>
                </c:pt>
                <c:pt idx="28">
                  <c:v>1.819896646552233</c:v>
                </c:pt>
                <c:pt idx="29">
                  <c:v>2.0262992510723801</c:v>
                </c:pt>
                <c:pt idx="30">
                  <c:v>2.1879109710547917</c:v>
                </c:pt>
                <c:pt idx="31">
                  <c:v>2.3128500036411683</c:v>
                </c:pt>
                <c:pt idx="32">
                  <c:v>2.4101729718074245</c:v>
                </c:pt>
                <c:pt idx="33">
                  <c:v>2.4872071984380617</c:v>
                </c:pt>
                <c:pt idx="34">
                  <c:v>2.5493067770188684</c:v>
                </c:pt>
                <c:pt idx="35">
                  <c:v>2.6002671286723231</c:v>
                </c:pt>
                <c:pt idx="36">
                  <c:v>2.6427749307230606</c:v>
                </c:pt>
                <c:pt idx="37">
                  <c:v>2.6787525627216242</c:v>
                </c:pt>
                <c:pt idx="38">
                  <c:v>2.70959715504222</c:v>
                </c:pt>
                <c:pt idx="39">
                  <c:v>2.7363415969828537</c:v>
                </c:pt>
                <c:pt idx="40">
                  <c:v>2.759762591911747</c:v>
                </c:pt>
                <c:pt idx="41">
                  <c:v>2.7804537474653541</c:v>
                </c:pt>
                <c:pt idx="42">
                  <c:v>2.7988756591396076</c:v>
                </c:pt>
                <c:pt idx="43">
                  <c:v>2.8153907479270197</c:v>
                </c:pt>
                <c:pt idx="44">
                  <c:v>2.8302878730351102</c:v>
                </c:pt>
                <c:pt idx="45">
                  <c:v>2.8437999897320756</c:v>
                </c:pt>
                <c:pt idx="46">
                  <c:v>2.8561170059919663</c:v>
                </c:pt>
                <c:pt idx="47">
                  <c:v>2.8673952753646637</c:v>
                </c:pt>
                <c:pt idx="48">
                  <c:v>2.8777646990802261</c:v>
                </c:pt>
                <c:pt idx="49">
                  <c:v>2.8873341054457451</c:v>
                </c:pt>
                <c:pt idx="50">
                  <c:v>2.8961953716373174</c:v>
                </c:pt>
                <c:pt idx="51">
                  <c:v>2.9044266160609276</c:v>
                </c:pt>
                <c:pt idx="52">
                  <c:v>2.9120946958232827</c:v>
                </c:pt>
                <c:pt idx="53">
                  <c:v>2.9192571789864949</c:v>
                </c:pt>
                <c:pt idx="54">
                  <c:v>2.9259639157750152</c:v>
                </c:pt>
                <c:pt idx="55">
                  <c:v>2.9322583005959522</c:v>
                </c:pt>
                <c:pt idx="56">
                  <c:v>2.9381782935342553</c:v>
                </c:pt>
                <c:pt idx="57">
                  <c:v>2.9437572531435916</c:v>
                </c:pt>
                <c:pt idx="58">
                  <c:v>2.9490246200031272</c:v>
                </c:pt>
                <c:pt idx="59">
                  <c:v>2.9540064813642819</c:v>
                </c:pt>
                <c:pt idx="60">
                  <c:v>2.9587260403757631</c:v>
                </c:pt>
                <c:pt idx="61">
                  <c:v>2.9632040082213846</c:v>
                </c:pt>
                <c:pt idx="62">
                  <c:v>2.9674589335872357</c:v>
                </c:pt>
                <c:pt idx="63">
                  <c:v>2.9715074808727708</c:v>
                </c:pt>
                <c:pt idx="64">
                  <c:v>2.9753646662430935</c:v>
                </c:pt>
                <c:pt idx="65">
                  <c:v>2.9790440588181299</c:v>
                </c:pt>
                <c:pt idx="66">
                  <c:v>2.9825579528843544</c:v>
                </c:pt>
                <c:pt idx="67">
                  <c:v>2.985917515904005</c:v>
                </c:pt>
                <c:pt idx="68">
                  <c:v>2.9891329162164499</c:v>
                </c:pt>
                <c:pt idx="69">
                  <c:v>2.9922134336246047</c:v>
                </c:pt>
                <c:pt idx="70">
                  <c:v>2.9951675554967911</c:v>
                </c:pt>
                <c:pt idx="71">
                  <c:v>2.998003060561099</c:v>
                </c:pt>
                <c:pt idx="72">
                  <c:v>3.0007270922021281</c:v>
                </c:pt>
                <c:pt idx="73">
                  <c:v>3.0033462227711394</c:v>
                </c:pt>
                <c:pt idx="74">
                  <c:v>3.0058665101762783</c:v>
                </c:pt>
                <c:pt idx="75">
                  <c:v>3.0082935478188086</c:v>
                </c:pt>
                <c:pt idx="76">
                  <c:v>3.0106325087757582</c:v>
                </c:pt>
                <c:pt idx="77">
                  <c:v>3.0128881849922431</c:v>
                </c:pt>
                <c:pt idx="78">
                  <c:v>3.0150650221327293</c:v>
                </c:pt>
                <c:pt idx="79">
                  <c:v>3.0171671506453408</c:v>
                </c:pt>
                <c:pt idx="80">
                  <c:v>3.0191984135135952</c:v>
                </c:pt>
                <c:pt idx="81">
                  <c:v>3.0211623911029606</c:v>
                </c:pt>
                <c:pt idx="82">
                  <c:v>3.0230624234531027</c:v>
                </c:pt>
                <c:pt idx="83">
                  <c:v>3.024901630318884</c:v>
                </c:pt>
                <c:pt idx="84">
                  <c:v>3.0266829292225719</c:v>
                </c:pt>
                <c:pt idx="85">
                  <c:v>3.0284090517451832</c:v>
                </c:pt>
                <c:pt idx="86">
                  <c:v>3.0300825582553612</c:v>
                </c:pt>
                <c:pt idx="87">
                  <c:v>3.0317058512489421</c:v>
                </c:pt>
                <c:pt idx="88">
                  <c:v>3.0332811874506689</c:v>
                </c:pt>
                <c:pt idx="89">
                  <c:v>3.034810688810841</c:v>
                </c:pt>
                <c:pt idx="90">
                  <c:v>3.0362963525135847</c:v>
                </c:pt>
                <c:pt idx="91">
                  <c:v>3.0377400600994888</c:v>
                </c:pt>
                <c:pt idx="92">
                  <c:v>3.0391435857932616</c:v>
                </c:pt>
                <c:pt idx="93">
                  <c:v>3.0405086041165643</c:v>
                </c:pt>
                <c:pt idx="94">
                  <c:v>3.0418366968570356</c:v>
                </c:pt>
                <c:pt idx="95">
                  <c:v>3.0431293594565156</c:v>
                </c:pt>
                <c:pt idx="96">
                  <c:v>3.0443880068745113</c:v>
                </c:pt>
                <c:pt idx="97">
                  <c:v>3.0456139789768142</c:v>
                </c:pt>
                <c:pt idx="98">
                  <c:v>3.0468085454937954</c:v>
                </c:pt>
                <c:pt idx="99">
                  <c:v>3.0479729105881872</c:v>
                </c:pt>
                <c:pt idx="100">
                  <c:v>3.0491082170679666</c:v>
                </c:pt>
                <c:pt idx="101">
                  <c:v>3.0502155502763015</c:v>
                </c:pt>
                <c:pt idx="102">
                  <c:v>3.0512959416872216</c:v>
                </c:pt>
                <c:pt idx="103">
                  <c:v>3.0523503722328313</c:v>
                </c:pt>
                <c:pt idx="104">
                  <c:v>3.0533797753852761</c:v>
                </c:pt>
                <c:pt idx="105">
                  <c:v>3.0543850400144237</c:v>
                </c:pt>
                <c:pt idx="106">
                  <c:v>3.0553670130401809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A66-42DA-9A41-9994F2CB1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2919904"/>
        <c:axId val="372924168"/>
      </c:scatterChart>
      <c:valAx>
        <c:axId val="372919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72924168"/>
        <c:crosses val="autoZero"/>
        <c:crossBetween val="midCat"/>
      </c:valAx>
      <c:valAx>
        <c:axId val="372924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729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 eset Nagyítás, fázisszög diagrammok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'Különböző gerjesztési típusok'!$AC$9</c:f>
              <c:strCache>
                <c:ptCount val="1"/>
                <c:pt idx="0">
                  <c:v>N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'Különböző gerjesztési típusok'!$V$10:$V$116</c:f>
              <c:numCache>
                <c:formatCode>General</c:formatCode>
                <c:ptCount val="107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0.91</c:v>
                </c:pt>
                <c:pt idx="11">
                  <c:v>0.92</c:v>
                </c:pt>
                <c:pt idx="12">
                  <c:v>0.93</c:v>
                </c:pt>
                <c:pt idx="13">
                  <c:v>0.94</c:v>
                </c:pt>
                <c:pt idx="14">
                  <c:v>0.95</c:v>
                </c:pt>
                <c:pt idx="15">
                  <c:v>0.96</c:v>
                </c:pt>
                <c:pt idx="16">
                  <c:v>0.97</c:v>
                </c:pt>
                <c:pt idx="17">
                  <c:v>0.98</c:v>
                </c:pt>
                <c:pt idx="18">
                  <c:v>0.99</c:v>
                </c:pt>
                <c:pt idx="19">
                  <c:v>1.01</c:v>
                </c:pt>
                <c:pt idx="20">
                  <c:v>1.02</c:v>
                </c:pt>
                <c:pt idx="21">
                  <c:v>1.03</c:v>
                </c:pt>
                <c:pt idx="22">
                  <c:v>1.04</c:v>
                </c:pt>
                <c:pt idx="23">
                  <c:v>1.05</c:v>
                </c:pt>
                <c:pt idx="24">
                  <c:v>1.06</c:v>
                </c:pt>
                <c:pt idx="25">
                  <c:v>1.07</c:v>
                </c:pt>
                <c:pt idx="26">
                  <c:v>1.08</c:v>
                </c:pt>
                <c:pt idx="27">
                  <c:v>1.0900000000000001</c:v>
                </c:pt>
                <c:pt idx="28">
                  <c:v>1.1000000000000001</c:v>
                </c:pt>
                <c:pt idx="29">
                  <c:v>1.2</c:v>
                </c:pt>
                <c:pt idx="30">
                  <c:v>1.3</c:v>
                </c:pt>
                <c:pt idx="31">
                  <c:v>1.4</c:v>
                </c:pt>
                <c:pt idx="32">
                  <c:v>1.5</c:v>
                </c:pt>
                <c:pt idx="33">
                  <c:v>1.6</c:v>
                </c:pt>
                <c:pt idx="34">
                  <c:v>1.7</c:v>
                </c:pt>
                <c:pt idx="35">
                  <c:v>1.8</c:v>
                </c:pt>
                <c:pt idx="36">
                  <c:v>1.9</c:v>
                </c:pt>
                <c:pt idx="37">
                  <c:v>2</c:v>
                </c:pt>
                <c:pt idx="38">
                  <c:v>2.1</c:v>
                </c:pt>
                <c:pt idx="39">
                  <c:v>2.2000000000000002</c:v>
                </c:pt>
                <c:pt idx="40">
                  <c:v>2.2999999999999998</c:v>
                </c:pt>
                <c:pt idx="41">
                  <c:v>2.4</c:v>
                </c:pt>
                <c:pt idx="42">
                  <c:v>2.5</c:v>
                </c:pt>
                <c:pt idx="43">
                  <c:v>2.6</c:v>
                </c:pt>
                <c:pt idx="44">
                  <c:v>2.7</c:v>
                </c:pt>
                <c:pt idx="45">
                  <c:v>2.8</c:v>
                </c:pt>
                <c:pt idx="46">
                  <c:v>2.9</c:v>
                </c:pt>
                <c:pt idx="47">
                  <c:v>3</c:v>
                </c:pt>
                <c:pt idx="48">
                  <c:v>3.1</c:v>
                </c:pt>
                <c:pt idx="49">
                  <c:v>3.2</c:v>
                </c:pt>
                <c:pt idx="50">
                  <c:v>3.3</c:v>
                </c:pt>
                <c:pt idx="51">
                  <c:v>3.4</c:v>
                </c:pt>
                <c:pt idx="52">
                  <c:v>3.5</c:v>
                </c:pt>
                <c:pt idx="53">
                  <c:v>3.6</c:v>
                </c:pt>
                <c:pt idx="54">
                  <c:v>3.7</c:v>
                </c:pt>
                <c:pt idx="55">
                  <c:v>3.8</c:v>
                </c:pt>
                <c:pt idx="56">
                  <c:v>3.9</c:v>
                </c:pt>
                <c:pt idx="57">
                  <c:v>4</c:v>
                </c:pt>
                <c:pt idx="58">
                  <c:v>4.0999999999999996</c:v>
                </c:pt>
                <c:pt idx="59">
                  <c:v>4.2</c:v>
                </c:pt>
                <c:pt idx="60">
                  <c:v>4.3</c:v>
                </c:pt>
                <c:pt idx="61">
                  <c:v>4.4000000000000004</c:v>
                </c:pt>
                <c:pt idx="62">
                  <c:v>4.5</c:v>
                </c:pt>
                <c:pt idx="63">
                  <c:v>4.5999999999999996</c:v>
                </c:pt>
                <c:pt idx="64">
                  <c:v>4.7</c:v>
                </c:pt>
                <c:pt idx="65">
                  <c:v>4.8</c:v>
                </c:pt>
                <c:pt idx="66">
                  <c:v>4.9000000000000004</c:v>
                </c:pt>
                <c:pt idx="67">
                  <c:v>5</c:v>
                </c:pt>
                <c:pt idx="68">
                  <c:v>5.0999999999999996</c:v>
                </c:pt>
                <c:pt idx="69">
                  <c:v>5.2</c:v>
                </c:pt>
                <c:pt idx="70">
                  <c:v>5.3</c:v>
                </c:pt>
                <c:pt idx="71">
                  <c:v>5.4</c:v>
                </c:pt>
                <c:pt idx="72">
                  <c:v>5.5</c:v>
                </c:pt>
                <c:pt idx="73">
                  <c:v>5.6</c:v>
                </c:pt>
                <c:pt idx="74">
                  <c:v>5.7</c:v>
                </c:pt>
                <c:pt idx="75">
                  <c:v>5.8</c:v>
                </c:pt>
                <c:pt idx="76">
                  <c:v>5.9</c:v>
                </c:pt>
                <c:pt idx="77">
                  <c:v>6</c:v>
                </c:pt>
                <c:pt idx="78">
                  <c:v>6.1</c:v>
                </c:pt>
                <c:pt idx="79">
                  <c:v>6.2</c:v>
                </c:pt>
                <c:pt idx="80">
                  <c:v>6.3</c:v>
                </c:pt>
                <c:pt idx="81">
                  <c:v>6.4</c:v>
                </c:pt>
                <c:pt idx="82">
                  <c:v>6.5</c:v>
                </c:pt>
                <c:pt idx="83">
                  <c:v>6.6</c:v>
                </c:pt>
                <c:pt idx="84">
                  <c:v>6.7</c:v>
                </c:pt>
                <c:pt idx="85">
                  <c:v>6.8</c:v>
                </c:pt>
                <c:pt idx="86">
                  <c:v>6.9</c:v>
                </c:pt>
                <c:pt idx="87">
                  <c:v>7</c:v>
                </c:pt>
                <c:pt idx="88">
                  <c:v>7.1</c:v>
                </c:pt>
                <c:pt idx="89">
                  <c:v>7.2</c:v>
                </c:pt>
                <c:pt idx="90">
                  <c:v>7.3</c:v>
                </c:pt>
                <c:pt idx="91">
                  <c:v>7.4</c:v>
                </c:pt>
                <c:pt idx="92">
                  <c:v>7.5</c:v>
                </c:pt>
                <c:pt idx="93">
                  <c:v>7.6</c:v>
                </c:pt>
                <c:pt idx="94">
                  <c:v>7.7</c:v>
                </c:pt>
                <c:pt idx="95">
                  <c:v>7.8</c:v>
                </c:pt>
                <c:pt idx="96">
                  <c:v>7.9</c:v>
                </c:pt>
                <c:pt idx="97">
                  <c:v>8</c:v>
                </c:pt>
                <c:pt idx="98">
                  <c:v>8.1</c:v>
                </c:pt>
                <c:pt idx="99">
                  <c:v>8.1999999999999993</c:v>
                </c:pt>
                <c:pt idx="100">
                  <c:v>8.3000000000000007</c:v>
                </c:pt>
                <c:pt idx="101">
                  <c:v>8.4</c:v>
                </c:pt>
                <c:pt idx="102">
                  <c:v>8.5</c:v>
                </c:pt>
                <c:pt idx="103">
                  <c:v>8.6</c:v>
                </c:pt>
                <c:pt idx="104">
                  <c:v>8.6999999999999993</c:v>
                </c:pt>
                <c:pt idx="105">
                  <c:v>8.8000000000000007</c:v>
                </c:pt>
                <c:pt idx="106">
                  <c:v>8.9</c:v>
                </c:pt>
              </c:numCache>
            </c:numRef>
          </c:xVal>
          <c:yVal>
            <c:numRef>
              <c:f>'Különböző gerjesztési típusok'!$AC$10:$AC$116</c:f>
              <c:numCache>
                <c:formatCode>General</c:formatCode>
                <c:ptCount val="107"/>
                <c:pt idx="0">
                  <c:v>0</c:v>
                </c:pt>
                <c:pt idx="1">
                  <c:v>1.0072491819035037E-2</c:v>
                </c:pt>
                <c:pt idx="2">
                  <c:v>4.1173031711633286E-2</c:v>
                </c:pt>
                <c:pt idx="3">
                  <c:v>9.6042968455152256E-2</c:v>
                </c:pt>
                <c:pt idx="4">
                  <c:v>0.17950078410576037</c:v>
                </c:pt>
                <c:pt idx="5">
                  <c:v>0.29849933435913667</c:v>
                </c:pt>
                <c:pt idx="6">
                  <c:v>0.46105371271980999</c:v>
                </c:pt>
                <c:pt idx="7">
                  <c:v>0.67152836758093726</c:v>
                </c:pt>
                <c:pt idx="8">
                  <c:v>0.91870444215351066</c:v>
                </c:pt>
                <c:pt idx="9">
                  <c:v>1.1615604246547806</c:v>
                </c:pt>
                <c:pt idx="10">
                  <c:v>1.1832545403829138</c:v>
                </c:pt>
                <c:pt idx="11">
                  <c:v>1.2042335821180943</c:v>
                </c:pt>
                <c:pt idx="12">
                  <c:v>1.2244467283112954</c:v>
                </c:pt>
                <c:pt idx="13">
                  <c:v>1.2438481276886866</c:v>
                </c:pt>
                <c:pt idx="14">
                  <c:v>1.2623973984046408</c:v>
                </c:pt>
                <c:pt idx="15">
                  <c:v>1.2800600283212351</c:v>
                </c:pt>
                <c:pt idx="16">
                  <c:v>1.2968076671615103</c:v>
                </c:pt>
                <c:pt idx="17">
                  <c:v>1.3126183051442444</c:v>
                </c:pt>
                <c:pt idx="18">
                  <c:v>1.327476336723582</c:v>
                </c:pt>
                <c:pt idx="19">
                  <c:v>1.3543037819990245</c:v>
                </c:pt>
                <c:pt idx="20">
                  <c:v>1.366273047260288</c:v>
                </c:pt>
                <c:pt idx="21">
                  <c:v>1.3772888215990353</c:v>
                </c:pt>
                <c:pt idx="22">
                  <c:v>1.3873648249373471</c:v>
                </c:pt>
                <c:pt idx="23">
                  <c:v>1.3965195200826677</c:v>
                </c:pt>
                <c:pt idx="24">
                  <c:v>1.4047756088036809</c:v>
                </c:pt>
                <c:pt idx="25">
                  <c:v>1.4121595022751872</c:v>
                </c:pt>
                <c:pt idx="26">
                  <c:v>1.4187007801412379</c:v>
                </c:pt>
                <c:pt idx="27">
                  <c:v>1.4244316511688488</c:v>
                </c:pt>
                <c:pt idx="28">
                  <c:v>1.429386426860376</c:v>
                </c:pt>
                <c:pt idx="29">
                  <c:v>1.444397640285364</c:v>
                </c:pt>
                <c:pt idx="30">
                  <c:v>1.4205370264311483</c:v>
                </c:pt>
                <c:pt idx="31">
                  <c:v>1.382159585426995</c:v>
                </c:pt>
                <c:pt idx="32">
                  <c:v>1.3415215335171302</c:v>
                </c:pt>
                <c:pt idx="33">
                  <c:v>1.3036152296787091</c:v>
                </c:pt>
                <c:pt idx="34">
                  <c:v>1.2700017798860774</c:v>
                </c:pt>
                <c:pt idx="35">
                  <c:v>1.2408129515932509</c:v>
                </c:pt>
                <c:pt idx="36">
                  <c:v>1.2156565096154026</c:v>
                </c:pt>
                <c:pt idx="37">
                  <c:v>1.1939973374365467</c:v>
                </c:pt>
                <c:pt idx="38">
                  <c:v>1.1753073432723586</c:v>
                </c:pt>
                <c:pt idx="39">
                  <c:v>1.1591172113975328</c:v>
                </c:pt>
                <c:pt idx="40">
                  <c:v>1.1450279601168523</c:v>
                </c:pt>
                <c:pt idx="41">
                  <c:v>1.132707110966956</c:v>
                </c:pt>
                <c:pt idx="42">
                  <c:v>1.1218799006610021</c:v>
                </c:pt>
                <c:pt idx="43">
                  <c:v>1.1123197676373167</c:v>
                </c:pt>
                <c:pt idx="44">
                  <c:v>1.1038396869866449</c:v>
                </c:pt>
                <c:pt idx="45">
                  <c:v>1.0962848086973751</c:v>
                </c:pt>
                <c:pt idx="46">
                  <c:v>1.089526405152653</c:v>
                </c:pt>
                <c:pt idx="47">
                  <c:v>1.0834569740405151</c:v>
                </c:pt>
                <c:pt idx="48">
                  <c:v>1.0779863046900038</c:v>
                </c:pt>
                <c:pt idx="49">
                  <c:v>1.0730383255815437</c:v>
                </c:pt>
                <c:pt idx="50">
                  <c:v>1.0685485764034184</c:v>
                </c:pt>
                <c:pt idx="51">
                  <c:v>1.0644621761746902</c:v>
                </c:pt>
                <c:pt idx="52">
                  <c:v>1.060732184531356</c:v>
                </c:pt>
                <c:pt idx="53">
                  <c:v>1.0573182747674286</c:v>
                </c:pt>
                <c:pt idx="54">
                  <c:v>1.0541856546031401</c:v>
                </c:pt>
                <c:pt idx="55">
                  <c:v>1.0513041844218121</c:v>
                </c:pt>
                <c:pt idx="56">
                  <c:v>1.0486476535084559</c:v>
                </c:pt>
                <c:pt idx="57">
                  <c:v>1.0461931832370759</c:v>
                </c:pt>
                <c:pt idx="58">
                  <c:v>1.0439207327022133</c:v>
                </c:pt>
                <c:pt idx="59">
                  <c:v>1.0418126873891453</c:v>
                </c:pt>
                <c:pt idx="60">
                  <c:v>1.0398535154544801</c:v>
                </c:pt>
                <c:pt idx="61">
                  <c:v>1.0380294792999072</c:v>
                </c:pt>
                <c:pt idx="62">
                  <c:v>1.0363283925634035</c:v>
                </c:pt>
                <c:pt idx="63">
                  <c:v>1.0347394145755169</c:v>
                </c:pt>
                <c:pt idx="64">
                  <c:v>1.0332528758494566</c:v>
                </c:pt>
                <c:pt idx="65">
                  <c:v>1.0318601293816674</c:v>
                </c:pt>
                <c:pt idx="66">
                  <c:v>1.0305534235028606</c:v>
                </c:pt>
                <c:pt idx="67">
                  <c:v>1.0293257927908319</c:v>
                </c:pt>
                <c:pt idx="68">
                  <c:v>1.0281709641766696</c:v>
                </c:pt>
                <c:pt idx="69">
                  <c:v>1.0270832758767534</c:v>
                </c:pt>
                <c:pt idx="70">
                  <c:v>1.0260576071889187</c:v>
                </c:pt>
                <c:pt idx="71">
                  <c:v>1.0250893175215563</c:v>
                </c:pt>
                <c:pt idx="72">
                  <c:v>1.0241741932943458</c:v>
                </c:pt>
                <c:pt idx="73">
                  <c:v>1.0233084015706666</c:v>
                </c:pt>
                <c:pt idx="74">
                  <c:v>1.022488449463909</c:v>
                </c:pt>
                <c:pt idx="75">
                  <c:v>1.0217111485103674</c:v>
                </c:pt>
                <c:pt idx="76">
                  <c:v>1.0209735833261091</c:v>
                </c:pt>
                <c:pt idx="77">
                  <c:v>1.0202730839689007</c:v>
                </c:pt>
                <c:pt idx="78">
                  <c:v>1.0196072015127884</c:v>
                </c:pt>
                <c:pt idx="79">
                  <c:v>1.0189736864153256</c:v>
                </c:pt>
                <c:pt idx="80">
                  <c:v>1.0183704693182078</c:v>
                </c:pt>
                <c:pt idx="81">
                  <c:v>1.0177956439732434</c:v>
                </c:pt>
                <c:pt idx="82">
                  <c:v>1.0172474520287802</c:v>
                </c:pt>
                <c:pt idx="83">
                  <c:v>1.0167242694482923</c:v>
                </c:pt>
                <c:pt idx="84">
                  <c:v>1.0162245943638708</c:v>
                </c:pt>
                <c:pt idx="85">
                  <c:v>1.0157470361937915</c:v>
                </c:pt>
                <c:pt idx="86">
                  <c:v>1.0152903058758966</c:v>
                </c:pt>
                <c:pt idx="87">
                  <c:v>1.0148532070878029</c:v>
                </c:pt>
                <c:pt idx="88">
                  <c:v>1.0144346283415011</c:v>
                </c:pt>
                <c:pt idx="89">
                  <c:v>1.0140335358541308</c:v>
                </c:pt>
                <c:pt idx="90">
                  <c:v>1.0136489671089537</c:v>
                </c:pt>
                <c:pt idx="91">
                  <c:v>1.0132800250311311</c:v>
                </c:pt>
                <c:pt idx="92">
                  <c:v>1.0129258727120514</c:v>
                </c:pt>
                <c:pt idx="93">
                  <c:v>1.0125857286238913</c:v>
                </c:pt>
                <c:pt idx="94">
                  <c:v>1.0122588622729749</c:v>
                </c:pt>
                <c:pt idx="95">
                  <c:v>1.0119445902464974</c:v>
                </c:pt>
                <c:pt idx="96">
                  <c:v>1.0116422726124086</c:v>
                </c:pt>
                <c:pt idx="97">
                  <c:v>1.0113513096368165</c:v>
                </c:pt>
                <c:pt idx="98">
                  <c:v>1.0110711387872711</c:v>
                </c:pt>
                <c:pt idx="99">
                  <c:v>1.0108012319937976</c:v>
                </c:pt>
                <c:pt idx="100">
                  <c:v>1.0105410931426257</c:v>
                </c:pt>
                <c:pt idx="101">
                  <c:v>1.0102902557802627</c:v>
                </c:pt>
                <c:pt idx="102">
                  <c:v>1.0100482810079641</c:v>
                </c:pt>
                <c:pt idx="103">
                  <c:v>1.0098147555487424</c:v>
                </c:pt>
                <c:pt idx="104">
                  <c:v>1.0095892899709289</c:v>
                </c:pt>
                <c:pt idx="105">
                  <c:v>1.009371517053951</c:v>
                </c:pt>
                <c:pt idx="106">
                  <c:v>1.0091610902834431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D0D-492B-9625-C435721F9D53}"/>
            </c:ext>
          </c:extLst>
        </c:ser>
        <c:ser>
          <c:idx val="1"/>
          <c:order val="1"/>
          <c:tx>
            <c:strRef>
              <c:f>'Különböző gerjesztési típusok'!$AD$9</c:f>
              <c:strCache>
                <c:ptCount val="1"/>
                <c:pt idx="0">
                  <c:v>fazisszog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'Különböző gerjesztési típusok'!$V$10:$V$116</c:f>
              <c:numCache>
                <c:formatCode>General</c:formatCode>
                <c:ptCount val="107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0.91</c:v>
                </c:pt>
                <c:pt idx="11">
                  <c:v>0.92</c:v>
                </c:pt>
                <c:pt idx="12">
                  <c:v>0.93</c:v>
                </c:pt>
                <c:pt idx="13">
                  <c:v>0.94</c:v>
                </c:pt>
                <c:pt idx="14">
                  <c:v>0.95</c:v>
                </c:pt>
                <c:pt idx="15">
                  <c:v>0.96</c:v>
                </c:pt>
                <c:pt idx="16">
                  <c:v>0.97</c:v>
                </c:pt>
                <c:pt idx="17">
                  <c:v>0.98</c:v>
                </c:pt>
                <c:pt idx="18">
                  <c:v>0.99</c:v>
                </c:pt>
                <c:pt idx="19">
                  <c:v>1.01</c:v>
                </c:pt>
                <c:pt idx="20">
                  <c:v>1.02</c:v>
                </c:pt>
                <c:pt idx="21">
                  <c:v>1.03</c:v>
                </c:pt>
                <c:pt idx="22">
                  <c:v>1.04</c:v>
                </c:pt>
                <c:pt idx="23">
                  <c:v>1.05</c:v>
                </c:pt>
                <c:pt idx="24">
                  <c:v>1.06</c:v>
                </c:pt>
                <c:pt idx="25">
                  <c:v>1.07</c:v>
                </c:pt>
                <c:pt idx="26">
                  <c:v>1.08</c:v>
                </c:pt>
                <c:pt idx="27">
                  <c:v>1.0900000000000001</c:v>
                </c:pt>
                <c:pt idx="28">
                  <c:v>1.1000000000000001</c:v>
                </c:pt>
                <c:pt idx="29">
                  <c:v>1.2</c:v>
                </c:pt>
                <c:pt idx="30">
                  <c:v>1.3</c:v>
                </c:pt>
                <c:pt idx="31">
                  <c:v>1.4</c:v>
                </c:pt>
                <c:pt idx="32">
                  <c:v>1.5</c:v>
                </c:pt>
                <c:pt idx="33">
                  <c:v>1.6</c:v>
                </c:pt>
                <c:pt idx="34">
                  <c:v>1.7</c:v>
                </c:pt>
                <c:pt idx="35">
                  <c:v>1.8</c:v>
                </c:pt>
                <c:pt idx="36">
                  <c:v>1.9</c:v>
                </c:pt>
                <c:pt idx="37">
                  <c:v>2</c:v>
                </c:pt>
                <c:pt idx="38">
                  <c:v>2.1</c:v>
                </c:pt>
                <c:pt idx="39">
                  <c:v>2.2000000000000002</c:v>
                </c:pt>
                <c:pt idx="40">
                  <c:v>2.2999999999999998</c:v>
                </c:pt>
                <c:pt idx="41">
                  <c:v>2.4</c:v>
                </c:pt>
                <c:pt idx="42">
                  <c:v>2.5</c:v>
                </c:pt>
                <c:pt idx="43">
                  <c:v>2.6</c:v>
                </c:pt>
                <c:pt idx="44">
                  <c:v>2.7</c:v>
                </c:pt>
                <c:pt idx="45">
                  <c:v>2.8</c:v>
                </c:pt>
                <c:pt idx="46">
                  <c:v>2.9</c:v>
                </c:pt>
                <c:pt idx="47">
                  <c:v>3</c:v>
                </c:pt>
                <c:pt idx="48">
                  <c:v>3.1</c:v>
                </c:pt>
                <c:pt idx="49">
                  <c:v>3.2</c:v>
                </c:pt>
                <c:pt idx="50">
                  <c:v>3.3</c:v>
                </c:pt>
                <c:pt idx="51">
                  <c:v>3.4</c:v>
                </c:pt>
                <c:pt idx="52">
                  <c:v>3.5</c:v>
                </c:pt>
                <c:pt idx="53">
                  <c:v>3.6</c:v>
                </c:pt>
                <c:pt idx="54">
                  <c:v>3.7</c:v>
                </c:pt>
                <c:pt idx="55">
                  <c:v>3.8</c:v>
                </c:pt>
                <c:pt idx="56">
                  <c:v>3.9</c:v>
                </c:pt>
                <c:pt idx="57">
                  <c:v>4</c:v>
                </c:pt>
                <c:pt idx="58">
                  <c:v>4.0999999999999996</c:v>
                </c:pt>
                <c:pt idx="59">
                  <c:v>4.2</c:v>
                </c:pt>
                <c:pt idx="60">
                  <c:v>4.3</c:v>
                </c:pt>
                <c:pt idx="61">
                  <c:v>4.4000000000000004</c:v>
                </c:pt>
                <c:pt idx="62">
                  <c:v>4.5</c:v>
                </c:pt>
                <c:pt idx="63">
                  <c:v>4.5999999999999996</c:v>
                </c:pt>
                <c:pt idx="64">
                  <c:v>4.7</c:v>
                </c:pt>
                <c:pt idx="65">
                  <c:v>4.8</c:v>
                </c:pt>
                <c:pt idx="66">
                  <c:v>4.9000000000000004</c:v>
                </c:pt>
                <c:pt idx="67">
                  <c:v>5</c:v>
                </c:pt>
                <c:pt idx="68">
                  <c:v>5.0999999999999996</c:v>
                </c:pt>
                <c:pt idx="69">
                  <c:v>5.2</c:v>
                </c:pt>
                <c:pt idx="70">
                  <c:v>5.3</c:v>
                </c:pt>
                <c:pt idx="71">
                  <c:v>5.4</c:v>
                </c:pt>
                <c:pt idx="72">
                  <c:v>5.5</c:v>
                </c:pt>
                <c:pt idx="73">
                  <c:v>5.6</c:v>
                </c:pt>
                <c:pt idx="74">
                  <c:v>5.7</c:v>
                </c:pt>
                <c:pt idx="75">
                  <c:v>5.8</c:v>
                </c:pt>
                <c:pt idx="76">
                  <c:v>5.9</c:v>
                </c:pt>
                <c:pt idx="77">
                  <c:v>6</c:v>
                </c:pt>
                <c:pt idx="78">
                  <c:v>6.1</c:v>
                </c:pt>
                <c:pt idx="79">
                  <c:v>6.2</c:v>
                </c:pt>
                <c:pt idx="80">
                  <c:v>6.3</c:v>
                </c:pt>
                <c:pt idx="81">
                  <c:v>6.4</c:v>
                </c:pt>
                <c:pt idx="82">
                  <c:v>6.5</c:v>
                </c:pt>
                <c:pt idx="83">
                  <c:v>6.6</c:v>
                </c:pt>
                <c:pt idx="84">
                  <c:v>6.7</c:v>
                </c:pt>
                <c:pt idx="85">
                  <c:v>6.8</c:v>
                </c:pt>
                <c:pt idx="86">
                  <c:v>6.9</c:v>
                </c:pt>
                <c:pt idx="87">
                  <c:v>7</c:v>
                </c:pt>
                <c:pt idx="88">
                  <c:v>7.1</c:v>
                </c:pt>
                <c:pt idx="89">
                  <c:v>7.2</c:v>
                </c:pt>
                <c:pt idx="90">
                  <c:v>7.3</c:v>
                </c:pt>
                <c:pt idx="91">
                  <c:v>7.4</c:v>
                </c:pt>
                <c:pt idx="92">
                  <c:v>7.5</c:v>
                </c:pt>
                <c:pt idx="93">
                  <c:v>7.6</c:v>
                </c:pt>
                <c:pt idx="94">
                  <c:v>7.7</c:v>
                </c:pt>
                <c:pt idx="95">
                  <c:v>7.8</c:v>
                </c:pt>
                <c:pt idx="96">
                  <c:v>7.9</c:v>
                </c:pt>
                <c:pt idx="97">
                  <c:v>8</c:v>
                </c:pt>
                <c:pt idx="98">
                  <c:v>8.1</c:v>
                </c:pt>
                <c:pt idx="99">
                  <c:v>8.1999999999999993</c:v>
                </c:pt>
                <c:pt idx="100">
                  <c:v>8.3000000000000007</c:v>
                </c:pt>
                <c:pt idx="101">
                  <c:v>8.4</c:v>
                </c:pt>
                <c:pt idx="102">
                  <c:v>8.5</c:v>
                </c:pt>
                <c:pt idx="103">
                  <c:v>8.6</c:v>
                </c:pt>
                <c:pt idx="104">
                  <c:v>8.6999999999999993</c:v>
                </c:pt>
                <c:pt idx="105">
                  <c:v>8.8000000000000007</c:v>
                </c:pt>
                <c:pt idx="106">
                  <c:v>8.9</c:v>
                </c:pt>
              </c:numCache>
            </c:numRef>
          </c:xVal>
          <c:yVal>
            <c:numRef>
              <c:f>'Különböző gerjesztési típusok'!$AD$10:$AD$116</c:f>
              <c:numCache>
                <c:formatCode>General</c:formatCode>
                <c:ptCount val="107"/>
                <c:pt idx="0">
                  <c:v>0</c:v>
                </c:pt>
                <c:pt idx="1">
                  <c:v>7.5161684784218405E-2</c:v>
                </c:pt>
                <c:pt idx="2">
                  <c:v>0.15408248409599531</c:v>
                </c:pt>
                <c:pt idx="3">
                  <c:v>0.24099439021066824</c:v>
                </c:pt>
                <c:pt idx="4">
                  <c:v>0.34112434086039284</c:v>
                </c:pt>
                <c:pt idx="5">
                  <c:v>0.46124743727837586</c:v>
                </c:pt>
                <c:pt idx="6">
                  <c:v>0.60999471605320343</c:v>
                </c:pt>
                <c:pt idx="7">
                  <c:v>0.7968852811892686</c:v>
                </c:pt>
                <c:pt idx="8">
                  <c:v>1.0277210490824735</c:v>
                </c:pt>
                <c:pt idx="9">
                  <c:v>1.2948425096296952</c:v>
                </c:pt>
                <c:pt idx="10">
                  <c:v>1.3226326910275739</c:v>
                </c:pt>
                <c:pt idx="11">
                  <c:v>1.3504806675088967</c:v>
                </c:pt>
                <c:pt idx="12">
                  <c:v>1.3783483114473174</c:v>
                </c:pt>
                <c:pt idx="13">
                  <c:v>1.4061972288642461</c:v>
                </c:pt>
                <c:pt idx="14">
                  <c:v>1.4339890912207018</c:v>
                </c:pt>
                <c:pt idx="15">
                  <c:v>1.4616859657320533</c:v>
                </c:pt>
                <c:pt idx="16">
                  <c:v>1.4892506371596923</c:v>
                </c:pt>
                <c:pt idx="17">
                  <c:v>1.5166469143711843</c:v>
                </c:pt>
                <c:pt idx="18">
                  <c:v>1.5438399155554359</c:v>
                </c:pt>
                <c:pt idx="19">
                  <c:v>1.5958919760937542</c:v>
                </c:pt>
                <c:pt idx="20">
                  <c:v>1.6222826411903486</c:v>
                </c:pt>
                <c:pt idx="21">
                  <c:v>1.6483482852505145</c:v>
                </c:pt>
                <c:pt idx="22">
                  <c:v>1.6740637913297318</c:v>
                </c:pt>
                <c:pt idx="23">
                  <c:v>1.6994063919382512</c:v>
                </c:pt>
                <c:pt idx="24">
                  <c:v>1.7243557164138494</c:v>
                </c:pt>
                <c:pt idx="25">
                  <c:v>1.7488938045249085</c:v>
                </c:pt>
                <c:pt idx="26">
                  <c:v>1.7730050890026012</c:v>
                </c:pt>
                <c:pt idx="27">
                  <c:v>1.7966763502164176</c:v>
                </c:pt>
                <c:pt idx="28">
                  <c:v>1.819896646552233</c:v>
                </c:pt>
                <c:pt idx="29">
                  <c:v>2.0262992510723801</c:v>
                </c:pt>
                <c:pt idx="30">
                  <c:v>2.1879109710547917</c:v>
                </c:pt>
                <c:pt idx="31">
                  <c:v>2.3128500036411683</c:v>
                </c:pt>
                <c:pt idx="32">
                  <c:v>2.4101729718074245</c:v>
                </c:pt>
                <c:pt idx="33">
                  <c:v>2.4872071984380617</c:v>
                </c:pt>
                <c:pt idx="34">
                  <c:v>2.5493067770188684</c:v>
                </c:pt>
                <c:pt idx="35">
                  <c:v>2.6002671286723231</c:v>
                </c:pt>
                <c:pt idx="36">
                  <c:v>2.6427749307230606</c:v>
                </c:pt>
                <c:pt idx="37">
                  <c:v>2.6787525627216242</c:v>
                </c:pt>
                <c:pt idx="38">
                  <c:v>2.70959715504222</c:v>
                </c:pt>
                <c:pt idx="39">
                  <c:v>2.7363415969828537</c:v>
                </c:pt>
                <c:pt idx="40">
                  <c:v>2.759762591911747</c:v>
                </c:pt>
                <c:pt idx="41">
                  <c:v>2.7804537474653541</c:v>
                </c:pt>
                <c:pt idx="42">
                  <c:v>2.7988756591396076</c:v>
                </c:pt>
                <c:pt idx="43">
                  <c:v>2.8153907479270197</c:v>
                </c:pt>
                <c:pt idx="44">
                  <c:v>2.8302878730351102</c:v>
                </c:pt>
                <c:pt idx="45">
                  <c:v>2.8437999897320756</c:v>
                </c:pt>
                <c:pt idx="46">
                  <c:v>2.8561170059919663</c:v>
                </c:pt>
                <c:pt idx="47">
                  <c:v>2.8673952753646637</c:v>
                </c:pt>
                <c:pt idx="48">
                  <c:v>2.8777646990802261</c:v>
                </c:pt>
                <c:pt idx="49">
                  <c:v>2.8873341054457451</c:v>
                </c:pt>
                <c:pt idx="50">
                  <c:v>2.8961953716373174</c:v>
                </c:pt>
                <c:pt idx="51">
                  <c:v>2.9044266160609276</c:v>
                </c:pt>
                <c:pt idx="52">
                  <c:v>2.9120946958232827</c:v>
                </c:pt>
                <c:pt idx="53">
                  <c:v>2.9192571789864949</c:v>
                </c:pt>
                <c:pt idx="54">
                  <c:v>2.9259639157750152</c:v>
                </c:pt>
                <c:pt idx="55">
                  <c:v>2.9322583005959522</c:v>
                </c:pt>
                <c:pt idx="56">
                  <c:v>2.9381782935342553</c:v>
                </c:pt>
                <c:pt idx="57">
                  <c:v>2.9437572531435916</c:v>
                </c:pt>
                <c:pt idx="58">
                  <c:v>2.9490246200031272</c:v>
                </c:pt>
                <c:pt idx="59">
                  <c:v>2.9540064813642819</c:v>
                </c:pt>
                <c:pt idx="60">
                  <c:v>2.9587260403757631</c:v>
                </c:pt>
                <c:pt idx="61">
                  <c:v>2.9632040082213846</c:v>
                </c:pt>
                <c:pt idx="62">
                  <c:v>2.9674589335872357</c:v>
                </c:pt>
                <c:pt idx="63">
                  <c:v>2.9715074808727708</c:v>
                </c:pt>
                <c:pt idx="64">
                  <c:v>2.9753646662430935</c:v>
                </c:pt>
                <c:pt idx="65">
                  <c:v>2.9790440588181299</c:v>
                </c:pt>
                <c:pt idx="66">
                  <c:v>2.9825579528843544</c:v>
                </c:pt>
                <c:pt idx="67">
                  <c:v>2.985917515904005</c:v>
                </c:pt>
                <c:pt idx="68">
                  <c:v>2.9891329162164499</c:v>
                </c:pt>
                <c:pt idx="69">
                  <c:v>2.9922134336246047</c:v>
                </c:pt>
                <c:pt idx="70">
                  <c:v>2.9951675554967911</c:v>
                </c:pt>
                <c:pt idx="71">
                  <c:v>2.998003060561099</c:v>
                </c:pt>
                <c:pt idx="72">
                  <c:v>3.0007270922021281</c:v>
                </c:pt>
                <c:pt idx="73">
                  <c:v>3.0033462227711394</c:v>
                </c:pt>
                <c:pt idx="74">
                  <c:v>3.0058665101762783</c:v>
                </c:pt>
                <c:pt idx="75">
                  <c:v>3.0082935478188086</c:v>
                </c:pt>
                <c:pt idx="76">
                  <c:v>3.0106325087757582</c:v>
                </c:pt>
                <c:pt idx="77">
                  <c:v>3.0128881849922431</c:v>
                </c:pt>
                <c:pt idx="78">
                  <c:v>3.0150650221327293</c:v>
                </c:pt>
                <c:pt idx="79">
                  <c:v>3.0171671506453408</c:v>
                </c:pt>
                <c:pt idx="80">
                  <c:v>3.0191984135135952</c:v>
                </c:pt>
                <c:pt idx="81">
                  <c:v>3.0211623911029606</c:v>
                </c:pt>
                <c:pt idx="82">
                  <c:v>3.0230624234531027</c:v>
                </c:pt>
                <c:pt idx="83">
                  <c:v>3.024901630318884</c:v>
                </c:pt>
                <c:pt idx="84">
                  <c:v>3.0266829292225719</c:v>
                </c:pt>
                <c:pt idx="85">
                  <c:v>3.0284090517451832</c:v>
                </c:pt>
                <c:pt idx="86">
                  <c:v>3.0300825582553612</c:v>
                </c:pt>
                <c:pt idx="87">
                  <c:v>3.0317058512489421</c:v>
                </c:pt>
                <c:pt idx="88">
                  <c:v>3.0332811874506689</c:v>
                </c:pt>
                <c:pt idx="89">
                  <c:v>3.034810688810841</c:v>
                </c:pt>
                <c:pt idx="90">
                  <c:v>3.0362963525135847</c:v>
                </c:pt>
                <c:pt idx="91">
                  <c:v>3.0377400600994888</c:v>
                </c:pt>
                <c:pt idx="92">
                  <c:v>3.0391435857932616</c:v>
                </c:pt>
                <c:pt idx="93">
                  <c:v>3.0405086041165643</c:v>
                </c:pt>
                <c:pt idx="94">
                  <c:v>3.0418366968570356</c:v>
                </c:pt>
                <c:pt idx="95">
                  <c:v>3.0431293594565156</c:v>
                </c:pt>
                <c:pt idx="96">
                  <c:v>3.0443880068745113</c:v>
                </c:pt>
                <c:pt idx="97">
                  <c:v>3.0456139789768142</c:v>
                </c:pt>
                <c:pt idx="98">
                  <c:v>3.0468085454937954</c:v>
                </c:pt>
                <c:pt idx="99">
                  <c:v>3.0479729105881872</c:v>
                </c:pt>
                <c:pt idx="100">
                  <c:v>3.0491082170679666</c:v>
                </c:pt>
                <c:pt idx="101">
                  <c:v>3.0502155502763015</c:v>
                </c:pt>
                <c:pt idx="102">
                  <c:v>3.0512959416872216</c:v>
                </c:pt>
                <c:pt idx="103">
                  <c:v>3.0523503722328313</c:v>
                </c:pt>
                <c:pt idx="104">
                  <c:v>3.0533797753852761</c:v>
                </c:pt>
                <c:pt idx="105">
                  <c:v>3.0543850400144237</c:v>
                </c:pt>
                <c:pt idx="106">
                  <c:v>3.0553670130401809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D0D-492B-9625-C435721F9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99688"/>
        <c:axId val="386300344"/>
      </c:scatterChart>
      <c:valAx>
        <c:axId val="386299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86300344"/>
        <c:crosses val="autoZero"/>
        <c:crossBetween val="midCat"/>
      </c:valAx>
      <c:valAx>
        <c:axId val="386300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862996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93690445531805E-2"/>
          <c:y val="8.6378877665070963E-2"/>
          <c:w val="0.71730105588462534"/>
          <c:h val="0.8305661313949130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rezonancia!$B$10</c:f>
              <c:strCache>
                <c:ptCount val="1"/>
                <c:pt idx="0">
                  <c:v>y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rezonancia!$A$11:$A$100</c:f>
              <c:numCache>
                <c:formatCode>General</c:formatCode>
                <c:ptCount val="90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</c:numCache>
            </c:numRef>
          </c:xVal>
          <c:yVal>
            <c:numRef>
              <c:f>rezonancia!$B$11:$B$100</c:f>
              <c:numCache>
                <c:formatCode>General</c:formatCode>
                <c:ptCount val="90"/>
                <c:pt idx="0">
                  <c:v>0</c:v>
                </c:pt>
                <c:pt idx="1">
                  <c:v>0.2955202066613396</c:v>
                </c:pt>
                <c:pt idx="2">
                  <c:v>0.56464247339503548</c:v>
                </c:pt>
                <c:pt idx="3">
                  <c:v>0.7833269096274833</c:v>
                </c:pt>
                <c:pt idx="4">
                  <c:v>0.9320390859672264</c:v>
                </c:pt>
                <c:pt idx="5">
                  <c:v>0.99749498660405445</c:v>
                </c:pt>
                <c:pt idx="6">
                  <c:v>0.97384763087819526</c:v>
                </c:pt>
                <c:pt idx="7">
                  <c:v>0.86320936664887393</c:v>
                </c:pt>
                <c:pt idx="8">
                  <c:v>0.67546318055115062</c:v>
                </c:pt>
                <c:pt idx="9">
                  <c:v>0.42737988023382978</c:v>
                </c:pt>
                <c:pt idx="10">
                  <c:v>0.14112000805986721</c:v>
                </c:pt>
                <c:pt idx="11">
                  <c:v>-0.15774569414324865</c:v>
                </c:pt>
                <c:pt idx="12">
                  <c:v>-0.44252044329485207</c:v>
                </c:pt>
                <c:pt idx="13">
                  <c:v>-0.6877661591839741</c:v>
                </c:pt>
                <c:pt idx="14">
                  <c:v>-0.87157577241358775</c:v>
                </c:pt>
                <c:pt idx="15">
                  <c:v>-0.97753011766509701</c:v>
                </c:pt>
                <c:pt idx="16">
                  <c:v>-0.99616460883584057</c:v>
                </c:pt>
                <c:pt idx="17">
                  <c:v>-0.92581468232773245</c:v>
                </c:pt>
                <c:pt idx="18">
                  <c:v>-0.77276448755598715</c:v>
                </c:pt>
                <c:pt idx="19">
                  <c:v>-0.55068554259763836</c:v>
                </c:pt>
                <c:pt idx="20">
                  <c:v>-0.27941549819892586</c:v>
                </c:pt>
                <c:pt idx="21">
                  <c:v>1.6813900484350601E-2</c:v>
                </c:pt>
                <c:pt idx="22">
                  <c:v>0.31154136351337869</c:v>
                </c:pt>
                <c:pt idx="23">
                  <c:v>0.57843976438819944</c:v>
                </c:pt>
                <c:pt idx="24">
                  <c:v>0.79366786384915267</c:v>
                </c:pt>
                <c:pt idx="25">
                  <c:v>0.9379999767747389</c:v>
                </c:pt>
                <c:pt idx="26">
                  <c:v>0.99854334537460498</c:v>
                </c:pt>
                <c:pt idx="27">
                  <c:v>0.96988981084508585</c:v>
                </c:pt>
                <c:pt idx="28">
                  <c:v>0.85459890808828143</c:v>
                </c:pt>
                <c:pt idx="29">
                  <c:v>0.66296923008218334</c:v>
                </c:pt>
                <c:pt idx="30">
                  <c:v>0.41211848524175659</c:v>
                </c:pt>
                <c:pt idx="31">
                  <c:v>0.12445442350706171</c:v>
                </c:pt>
                <c:pt idx="32">
                  <c:v>-0.1743267812229814</c:v>
                </c:pt>
                <c:pt idx="33">
                  <c:v>-0.45753589377531978</c:v>
                </c:pt>
                <c:pt idx="34">
                  <c:v>-0.69987468759354232</c:v>
                </c:pt>
                <c:pt idx="35">
                  <c:v>-0.87969575997167004</c:v>
                </c:pt>
                <c:pt idx="36">
                  <c:v>-0.98093623006649155</c:v>
                </c:pt>
                <c:pt idx="37">
                  <c:v>-0.99455258820398906</c:v>
                </c:pt>
                <c:pt idx="38">
                  <c:v>-0.91932852566467638</c:v>
                </c:pt>
                <c:pt idx="39">
                  <c:v>-0.76198358391903331</c:v>
                </c:pt>
                <c:pt idx="40">
                  <c:v>-0.53657291800043494</c:v>
                </c:pt>
                <c:pt idx="41">
                  <c:v>-0.26323179136580266</c:v>
                </c:pt>
                <c:pt idx="42">
                  <c:v>3.3623047221138472E-2</c:v>
                </c:pt>
                <c:pt idx="43">
                  <c:v>0.32747443913769136</c:v>
                </c:pt>
                <c:pt idx="44">
                  <c:v>0.59207351470722447</c:v>
                </c:pt>
                <c:pt idx="45">
                  <c:v>0.80378442655162097</c:v>
                </c:pt>
                <c:pt idx="46">
                  <c:v>0.94369566944410421</c:v>
                </c:pt>
                <c:pt idx="47">
                  <c:v>0.99930938874791775</c:v>
                </c:pt>
                <c:pt idx="48">
                  <c:v>0.96565777654927798</c:v>
                </c:pt>
                <c:pt idx="49">
                  <c:v>0.84574683114293336</c:v>
                </c:pt>
                <c:pt idx="50">
                  <c:v>0.65028784015711683</c:v>
                </c:pt>
                <c:pt idx="51">
                  <c:v>0.39674057313061367</c:v>
                </c:pt>
                <c:pt idx="52">
                  <c:v>0.1077536522994423</c:v>
                </c:pt>
                <c:pt idx="53">
                  <c:v>-0.19085858137418762</c:v>
                </c:pt>
                <c:pt idx="54">
                  <c:v>-0.47242198639846927</c:v>
                </c:pt>
                <c:pt idx="55">
                  <c:v>-0.71178534236912305</c:v>
                </c:pt>
                <c:pt idx="56">
                  <c:v>-0.88756703358150291</c:v>
                </c:pt>
                <c:pt idx="57">
                  <c:v>-0.98406500508164341</c:v>
                </c:pt>
                <c:pt idx="58">
                  <c:v>-0.99265938047063318</c:v>
                </c:pt>
                <c:pt idx="59">
                  <c:v>-0.91258244979118297</c:v>
                </c:pt>
                <c:pt idx="60">
                  <c:v>-0.75098724677167605</c:v>
                </c:pt>
                <c:pt idx="61">
                  <c:v>-0.52230858962673454</c:v>
                </c:pt>
                <c:pt idx="62">
                  <c:v>-0.24697366173662089</c:v>
                </c:pt>
                <c:pt idx="63">
                  <c:v>5.0422687806811223E-2</c:v>
                </c:pt>
                <c:pt idx="64">
                  <c:v>0.34331492881989872</c:v>
                </c:pt>
                <c:pt idx="65">
                  <c:v>0.60553986971960105</c:v>
                </c:pt>
                <c:pt idx="66">
                  <c:v>0.81367373750710326</c:v>
                </c:pt>
                <c:pt idx="67">
                  <c:v>0.94912455364789461</c:v>
                </c:pt>
                <c:pt idx="68">
                  <c:v>0.99979290014266919</c:v>
                </c:pt>
                <c:pt idx="69">
                  <c:v>0.96115272450211553</c:v>
                </c:pt>
                <c:pt idx="70">
                  <c:v>0.83665563853605607</c:v>
                </c:pt>
                <c:pt idx="71">
                  <c:v>0.63742259615024155</c:v>
                </c:pt>
                <c:pt idx="72">
                  <c:v>0.38125049165494013</c:v>
                </c:pt>
                <c:pt idx="73">
                  <c:v>9.1022416199847869E-2</c:v>
                </c:pt>
                <c:pt idx="74">
                  <c:v>-0.20733642060676225</c:v>
                </c:pt>
                <c:pt idx="75">
                  <c:v>-0.48717451246050952</c:v>
                </c:pt>
                <c:pt idx="76">
                  <c:v>-0.72349475604424252</c:v>
                </c:pt>
                <c:pt idx="77">
                  <c:v>-0.89518736781968178</c:v>
                </c:pt>
                <c:pt idx="78">
                  <c:v>-0.98691555812064868</c:v>
                </c:pt>
                <c:pt idx="79">
                  <c:v>-0.99048552089715591</c:v>
                </c:pt>
                <c:pt idx="80">
                  <c:v>-0.90557836200662389</c:v>
                </c:pt>
                <c:pt idx="81">
                  <c:v>-0.73977858507789584</c:v>
                </c:pt>
                <c:pt idx="82">
                  <c:v>-0.50789659039062518</c:v>
                </c:pt>
                <c:pt idx="83">
                  <c:v>-0.23064570592739222</c:v>
                </c:pt>
                <c:pt idx="84">
                  <c:v>6.7208072525478474E-2</c:v>
                </c:pt>
                <c:pt idx="85">
                  <c:v>0.35905835402216829</c:v>
                </c:pt>
                <c:pt idx="86">
                  <c:v>0.61883502212003649</c:v>
                </c:pt>
                <c:pt idx="87">
                  <c:v>0.82333300073807958</c:v>
                </c:pt>
                <c:pt idx="88">
                  <c:v>0.95428509449269805</c:v>
                </c:pt>
                <c:pt idx="89">
                  <c:v>0.9999937428570207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EE4-439D-8F3B-0D4BAE90ABD6}"/>
            </c:ext>
          </c:extLst>
        </c:ser>
        <c:ser>
          <c:idx val="1"/>
          <c:order val="1"/>
          <c:tx>
            <c:strRef>
              <c:f>rezonancia!$C$10</c:f>
              <c:strCache>
                <c:ptCount val="1"/>
                <c:pt idx="0">
                  <c:v>yrez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rezonancia!$A$11:$A$100</c:f>
              <c:numCache>
                <c:formatCode>General</c:formatCode>
                <c:ptCount val="90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</c:numCache>
            </c:numRef>
          </c:xVal>
          <c:yVal>
            <c:numRef>
              <c:f>rezonancia!$C$11:$C$100</c:f>
              <c:numCache>
                <c:formatCode>General</c:formatCode>
                <c:ptCount val="90"/>
                <c:pt idx="0">
                  <c:v>0</c:v>
                </c:pt>
                <c:pt idx="1">
                  <c:v>2.9552020666133962E-2</c:v>
                </c:pt>
                <c:pt idx="2">
                  <c:v>0.1129284946790071</c:v>
                </c:pt>
                <c:pt idx="3">
                  <c:v>0.23499807288824498</c:v>
                </c:pt>
                <c:pt idx="4">
                  <c:v>0.37281563438689058</c:v>
                </c:pt>
                <c:pt idx="5">
                  <c:v>0.49874749330202722</c:v>
                </c:pt>
                <c:pt idx="6">
                  <c:v>0.58430857852691709</c:v>
                </c:pt>
                <c:pt idx="7">
                  <c:v>0.60424655665421168</c:v>
                </c:pt>
                <c:pt idx="8">
                  <c:v>0.54037054444092048</c:v>
                </c:pt>
                <c:pt idx="9">
                  <c:v>0.38464189221044681</c:v>
                </c:pt>
                <c:pt idx="10">
                  <c:v>0.14112000805986721</c:v>
                </c:pt>
                <c:pt idx="11">
                  <c:v>-0.17352026355757352</c:v>
                </c:pt>
                <c:pt idx="12">
                  <c:v>-0.53102453195382249</c:v>
                </c:pt>
                <c:pt idx="13">
                  <c:v>-0.89409600693916635</c:v>
                </c:pt>
                <c:pt idx="14">
                  <c:v>-1.2202060813790228</c:v>
                </c:pt>
                <c:pt idx="15">
                  <c:v>-1.4662951764976455</c:v>
                </c:pt>
                <c:pt idx="16">
                  <c:v>-1.5938633741373449</c:v>
                </c:pt>
                <c:pt idx="17">
                  <c:v>-1.5738849599571452</c:v>
                </c:pt>
                <c:pt idx="18">
                  <c:v>-1.3909760776007769</c:v>
                </c:pt>
                <c:pt idx="19">
                  <c:v>-1.0463025309355127</c:v>
                </c:pt>
                <c:pt idx="20">
                  <c:v>-0.55883099639785172</c:v>
                </c:pt>
                <c:pt idx="21">
                  <c:v>3.5309191017136261E-2</c:v>
                </c:pt>
                <c:pt idx="22">
                  <c:v>0.68539099972943318</c:v>
                </c:pt>
                <c:pt idx="23">
                  <c:v>1.3304114580928585</c:v>
                </c:pt>
                <c:pt idx="24">
                  <c:v>1.9048028732379663</c:v>
                </c:pt>
                <c:pt idx="25">
                  <c:v>2.3449999419368472</c:v>
                </c:pt>
                <c:pt idx="26">
                  <c:v>2.5962126979739732</c:v>
                </c:pt>
                <c:pt idx="27">
                  <c:v>2.6187024892817319</c:v>
                </c:pt>
                <c:pt idx="28">
                  <c:v>2.3928769426471876</c:v>
                </c:pt>
                <c:pt idx="29">
                  <c:v>1.9226107672383317</c:v>
                </c:pt>
                <c:pt idx="30">
                  <c:v>1.2363554557252698</c:v>
                </c:pt>
                <c:pt idx="31">
                  <c:v>0.38580871287189128</c:v>
                </c:pt>
                <c:pt idx="32">
                  <c:v>-0.55784569991354049</c:v>
                </c:pt>
                <c:pt idx="33">
                  <c:v>-1.5098684494585553</c:v>
                </c:pt>
                <c:pt idx="34">
                  <c:v>-2.3795739378180438</c:v>
                </c:pt>
                <c:pt idx="35">
                  <c:v>-3.078935159900845</c:v>
                </c:pt>
                <c:pt idx="36">
                  <c:v>-3.5313704282393696</c:v>
                </c:pt>
                <c:pt idx="37">
                  <c:v>-3.6798445763547596</c:v>
                </c:pt>
                <c:pt idx="38">
                  <c:v>-3.49344839752577</c:v>
                </c:pt>
                <c:pt idx="39">
                  <c:v>-2.9717359772842298</c:v>
                </c:pt>
                <c:pt idx="40">
                  <c:v>-2.1462916720017398</c:v>
                </c:pt>
                <c:pt idx="41">
                  <c:v>-1.0792503445997907</c:v>
                </c:pt>
                <c:pt idx="42">
                  <c:v>0.14121679832878159</c:v>
                </c:pt>
                <c:pt idx="43">
                  <c:v>1.4081400882920727</c:v>
                </c:pt>
                <c:pt idx="44">
                  <c:v>2.605123464711788</c:v>
                </c:pt>
                <c:pt idx="45">
                  <c:v>3.6170299194822944</c:v>
                </c:pt>
                <c:pt idx="46">
                  <c:v>4.3410000794428791</c:v>
                </c:pt>
                <c:pt idx="47">
                  <c:v>4.6967541271152138</c:v>
                </c:pt>
                <c:pt idx="48">
                  <c:v>4.6351573274365343</c:v>
                </c:pt>
                <c:pt idx="49">
                  <c:v>4.1441594726003741</c:v>
                </c:pt>
                <c:pt idx="50">
                  <c:v>3.2514392007855841</c:v>
                </c:pt>
                <c:pt idx="51">
                  <c:v>2.0233769229661296</c:v>
                </c:pt>
                <c:pt idx="52">
                  <c:v>0.5603189919571</c:v>
                </c:pt>
                <c:pt idx="53">
                  <c:v>-1.0115504812831944</c:v>
                </c:pt>
                <c:pt idx="54">
                  <c:v>-2.5510787265517343</c:v>
                </c:pt>
                <c:pt idx="55">
                  <c:v>-3.914819383030177</c:v>
                </c:pt>
                <c:pt idx="56">
                  <c:v>-4.9703753880564161</c:v>
                </c:pt>
                <c:pt idx="57">
                  <c:v>-5.6091705289653673</c:v>
                </c:pt>
                <c:pt idx="58">
                  <c:v>-5.7574244067296725</c:v>
                </c:pt>
                <c:pt idx="59">
                  <c:v>-5.3842364537679801</c:v>
                </c:pt>
                <c:pt idx="60">
                  <c:v>-4.5059234806300559</c:v>
                </c:pt>
                <c:pt idx="61">
                  <c:v>-3.1860823967230805</c:v>
                </c:pt>
                <c:pt idx="62">
                  <c:v>-1.5312367027670495</c:v>
                </c:pt>
                <c:pt idx="63">
                  <c:v>0.31766293318291067</c:v>
                </c:pt>
                <c:pt idx="64">
                  <c:v>2.197215544447352</c:v>
                </c:pt>
                <c:pt idx="65">
                  <c:v>3.9360091531774071</c:v>
                </c:pt>
                <c:pt idx="66">
                  <c:v>5.3702466675468816</c:v>
                </c:pt>
                <c:pt idx="67">
                  <c:v>6.359134509440894</c:v>
                </c:pt>
                <c:pt idx="68">
                  <c:v>6.7985917209701503</c:v>
                </c:pt>
                <c:pt idx="69">
                  <c:v>6.6319537990645978</c:v>
                </c:pt>
                <c:pt idx="70">
                  <c:v>5.8565894697523921</c:v>
                </c:pt>
                <c:pt idx="71">
                  <c:v>4.5257004326667145</c:v>
                </c:pt>
                <c:pt idx="72">
                  <c:v>2.7450035399155688</c:v>
                </c:pt>
                <c:pt idx="73">
                  <c:v>0.66446363825888943</c:v>
                </c:pt>
                <c:pt idx="74">
                  <c:v>-1.5342895124900406</c:v>
                </c:pt>
                <c:pt idx="75">
                  <c:v>-3.6538088434538216</c:v>
                </c:pt>
                <c:pt idx="76">
                  <c:v>-5.498560145936243</c:v>
                </c:pt>
                <c:pt idx="77">
                  <c:v>-6.8929427322115497</c:v>
                </c:pt>
                <c:pt idx="78">
                  <c:v>-7.6979413533410597</c:v>
                </c:pt>
                <c:pt idx="79">
                  <c:v>-7.8248356150875322</c:v>
                </c:pt>
                <c:pt idx="80">
                  <c:v>-7.2446268960529911</c:v>
                </c:pt>
                <c:pt idx="81">
                  <c:v>-5.9922065391309562</c:v>
                </c:pt>
                <c:pt idx="82">
                  <c:v>-4.1647520412031263</c:v>
                </c:pt>
                <c:pt idx="83">
                  <c:v>-1.9143593591973556</c:v>
                </c:pt>
                <c:pt idx="84">
                  <c:v>0.56454780921401926</c:v>
                </c:pt>
                <c:pt idx="85">
                  <c:v>3.0519960091884304</c:v>
                </c:pt>
                <c:pt idx="86">
                  <c:v>5.3219811902323135</c:v>
                </c:pt>
                <c:pt idx="87">
                  <c:v>7.1629971064212921</c:v>
                </c:pt>
                <c:pt idx="88">
                  <c:v>8.3977088315357431</c:v>
                </c:pt>
                <c:pt idx="89">
                  <c:v>8.8999443114274843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EE4-439D-8F3B-0D4BAE90A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0663256"/>
        <c:axId val="1"/>
      </c:scatterChart>
      <c:valAx>
        <c:axId val="290663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29066325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5443215167724285"/>
          <c:y val="0.43189438529486135"/>
          <c:w val="0.12869220461366382"/>
          <c:h val="0.142857491650753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u-HU"/>
              <a:t>rezonancia  - burkolókkal</a:t>
            </a:r>
          </a:p>
        </c:rich>
      </c:tx>
      <c:layout>
        <c:manualLayout>
          <c:xMode val="edge"/>
          <c:yMode val="edge"/>
          <c:x val="0.27848189862343159"/>
          <c:y val="4.0974529346622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556992016482101"/>
          <c:y val="0.22259172321383672"/>
          <c:w val="0.80590883337625552"/>
          <c:h val="0.61461893723223571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rezonancia!$A$11:$A$100</c:f>
              <c:numCache>
                <c:formatCode>General</c:formatCode>
                <c:ptCount val="90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</c:numCache>
            </c:numRef>
          </c:xVal>
          <c:yVal>
            <c:numRef>
              <c:f>rezonancia!$B$11:$B$100</c:f>
              <c:numCache>
                <c:formatCode>General</c:formatCode>
                <c:ptCount val="90"/>
                <c:pt idx="0">
                  <c:v>0</c:v>
                </c:pt>
                <c:pt idx="1">
                  <c:v>0.2955202066613396</c:v>
                </c:pt>
                <c:pt idx="2">
                  <c:v>0.56464247339503548</c:v>
                </c:pt>
                <c:pt idx="3">
                  <c:v>0.7833269096274833</c:v>
                </c:pt>
                <c:pt idx="4">
                  <c:v>0.9320390859672264</c:v>
                </c:pt>
                <c:pt idx="5">
                  <c:v>0.99749498660405445</c:v>
                </c:pt>
                <c:pt idx="6">
                  <c:v>0.97384763087819526</c:v>
                </c:pt>
                <c:pt idx="7">
                  <c:v>0.86320936664887393</c:v>
                </c:pt>
                <c:pt idx="8">
                  <c:v>0.67546318055115062</c:v>
                </c:pt>
                <c:pt idx="9">
                  <c:v>0.42737988023382978</c:v>
                </c:pt>
                <c:pt idx="10">
                  <c:v>0.14112000805986721</c:v>
                </c:pt>
                <c:pt idx="11">
                  <c:v>-0.15774569414324865</c:v>
                </c:pt>
                <c:pt idx="12">
                  <c:v>-0.44252044329485207</c:v>
                </c:pt>
                <c:pt idx="13">
                  <c:v>-0.6877661591839741</c:v>
                </c:pt>
                <c:pt idx="14">
                  <c:v>-0.87157577241358775</c:v>
                </c:pt>
                <c:pt idx="15">
                  <c:v>-0.97753011766509701</c:v>
                </c:pt>
                <c:pt idx="16">
                  <c:v>-0.99616460883584057</c:v>
                </c:pt>
                <c:pt idx="17">
                  <c:v>-0.92581468232773245</c:v>
                </c:pt>
                <c:pt idx="18">
                  <c:v>-0.77276448755598715</c:v>
                </c:pt>
                <c:pt idx="19">
                  <c:v>-0.55068554259763836</c:v>
                </c:pt>
                <c:pt idx="20">
                  <c:v>-0.27941549819892586</c:v>
                </c:pt>
                <c:pt idx="21">
                  <c:v>1.6813900484350601E-2</c:v>
                </c:pt>
                <c:pt idx="22">
                  <c:v>0.31154136351337869</c:v>
                </c:pt>
                <c:pt idx="23">
                  <c:v>0.57843976438819944</c:v>
                </c:pt>
                <c:pt idx="24">
                  <c:v>0.79366786384915267</c:v>
                </c:pt>
                <c:pt idx="25">
                  <c:v>0.9379999767747389</c:v>
                </c:pt>
                <c:pt idx="26">
                  <c:v>0.99854334537460498</c:v>
                </c:pt>
                <c:pt idx="27">
                  <c:v>0.96988981084508585</c:v>
                </c:pt>
                <c:pt idx="28">
                  <c:v>0.85459890808828143</c:v>
                </c:pt>
                <c:pt idx="29">
                  <c:v>0.66296923008218334</c:v>
                </c:pt>
                <c:pt idx="30">
                  <c:v>0.41211848524175659</c:v>
                </c:pt>
                <c:pt idx="31">
                  <c:v>0.12445442350706171</c:v>
                </c:pt>
                <c:pt idx="32">
                  <c:v>-0.1743267812229814</c:v>
                </c:pt>
                <c:pt idx="33">
                  <c:v>-0.45753589377531978</c:v>
                </c:pt>
                <c:pt idx="34">
                  <c:v>-0.69987468759354232</c:v>
                </c:pt>
                <c:pt idx="35">
                  <c:v>-0.87969575997167004</c:v>
                </c:pt>
                <c:pt idx="36">
                  <c:v>-0.98093623006649155</c:v>
                </c:pt>
                <c:pt idx="37">
                  <c:v>-0.99455258820398906</c:v>
                </c:pt>
                <c:pt idx="38">
                  <c:v>-0.91932852566467638</c:v>
                </c:pt>
                <c:pt idx="39">
                  <c:v>-0.76198358391903331</c:v>
                </c:pt>
                <c:pt idx="40">
                  <c:v>-0.53657291800043494</c:v>
                </c:pt>
                <c:pt idx="41">
                  <c:v>-0.26323179136580266</c:v>
                </c:pt>
                <c:pt idx="42">
                  <c:v>3.3623047221138472E-2</c:v>
                </c:pt>
                <c:pt idx="43">
                  <c:v>0.32747443913769136</c:v>
                </c:pt>
                <c:pt idx="44">
                  <c:v>0.59207351470722447</c:v>
                </c:pt>
                <c:pt idx="45">
                  <c:v>0.80378442655162097</c:v>
                </c:pt>
                <c:pt idx="46">
                  <c:v>0.94369566944410421</c:v>
                </c:pt>
                <c:pt idx="47">
                  <c:v>0.99930938874791775</c:v>
                </c:pt>
                <c:pt idx="48">
                  <c:v>0.96565777654927798</c:v>
                </c:pt>
                <c:pt idx="49">
                  <c:v>0.84574683114293336</c:v>
                </c:pt>
                <c:pt idx="50">
                  <c:v>0.65028784015711683</c:v>
                </c:pt>
                <c:pt idx="51">
                  <c:v>0.39674057313061367</c:v>
                </c:pt>
                <c:pt idx="52">
                  <c:v>0.1077536522994423</c:v>
                </c:pt>
                <c:pt idx="53">
                  <c:v>-0.19085858137418762</c:v>
                </c:pt>
                <c:pt idx="54">
                  <c:v>-0.47242198639846927</c:v>
                </c:pt>
                <c:pt idx="55">
                  <c:v>-0.71178534236912305</c:v>
                </c:pt>
                <c:pt idx="56">
                  <c:v>-0.88756703358150291</c:v>
                </c:pt>
                <c:pt idx="57">
                  <c:v>-0.98406500508164341</c:v>
                </c:pt>
                <c:pt idx="58">
                  <c:v>-0.99265938047063318</c:v>
                </c:pt>
                <c:pt idx="59">
                  <c:v>-0.91258244979118297</c:v>
                </c:pt>
                <c:pt idx="60">
                  <c:v>-0.75098724677167605</c:v>
                </c:pt>
                <c:pt idx="61">
                  <c:v>-0.52230858962673454</c:v>
                </c:pt>
                <c:pt idx="62">
                  <c:v>-0.24697366173662089</c:v>
                </c:pt>
                <c:pt idx="63">
                  <c:v>5.0422687806811223E-2</c:v>
                </c:pt>
                <c:pt idx="64">
                  <c:v>0.34331492881989872</c:v>
                </c:pt>
                <c:pt idx="65">
                  <c:v>0.60553986971960105</c:v>
                </c:pt>
                <c:pt idx="66">
                  <c:v>0.81367373750710326</c:v>
                </c:pt>
                <c:pt idx="67">
                  <c:v>0.94912455364789461</c:v>
                </c:pt>
                <c:pt idx="68">
                  <c:v>0.99979290014266919</c:v>
                </c:pt>
                <c:pt idx="69">
                  <c:v>0.96115272450211553</c:v>
                </c:pt>
                <c:pt idx="70">
                  <c:v>0.83665563853605607</c:v>
                </c:pt>
                <c:pt idx="71">
                  <c:v>0.63742259615024155</c:v>
                </c:pt>
                <c:pt idx="72">
                  <c:v>0.38125049165494013</c:v>
                </c:pt>
                <c:pt idx="73">
                  <c:v>9.1022416199847869E-2</c:v>
                </c:pt>
                <c:pt idx="74">
                  <c:v>-0.20733642060676225</c:v>
                </c:pt>
                <c:pt idx="75">
                  <c:v>-0.48717451246050952</c:v>
                </c:pt>
                <c:pt idx="76">
                  <c:v>-0.72349475604424252</c:v>
                </c:pt>
                <c:pt idx="77">
                  <c:v>-0.89518736781968178</c:v>
                </c:pt>
                <c:pt idx="78">
                  <c:v>-0.98691555812064868</c:v>
                </c:pt>
                <c:pt idx="79">
                  <c:v>-0.99048552089715591</c:v>
                </c:pt>
                <c:pt idx="80">
                  <c:v>-0.90557836200662389</c:v>
                </c:pt>
                <c:pt idx="81">
                  <c:v>-0.73977858507789584</c:v>
                </c:pt>
                <c:pt idx="82">
                  <c:v>-0.50789659039062518</c:v>
                </c:pt>
                <c:pt idx="83">
                  <c:v>-0.23064570592739222</c:v>
                </c:pt>
                <c:pt idx="84">
                  <c:v>6.7208072525478474E-2</c:v>
                </c:pt>
                <c:pt idx="85">
                  <c:v>0.35905835402216829</c:v>
                </c:pt>
                <c:pt idx="86">
                  <c:v>0.61883502212003649</c:v>
                </c:pt>
                <c:pt idx="87">
                  <c:v>0.82333300073807958</c:v>
                </c:pt>
                <c:pt idx="88">
                  <c:v>0.95428509449269805</c:v>
                </c:pt>
                <c:pt idx="89">
                  <c:v>0.9999937428570207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B93-4237-8DED-5D31ABC3F2A2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rezonancia!$A$11:$A$100</c:f>
              <c:numCache>
                <c:formatCode>General</c:formatCode>
                <c:ptCount val="90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</c:numCache>
            </c:numRef>
          </c:xVal>
          <c:yVal>
            <c:numRef>
              <c:f>rezonancia!$C$11:$C$100</c:f>
              <c:numCache>
                <c:formatCode>General</c:formatCode>
                <c:ptCount val="90"/>
                <c:pt idx="0">
                  <c:v>0</c:v>
                </c:pt>
                <c:pt idx="1">
                  <c:v>2.9552020666133962E-2</c:v>
                </c:pt>
                <c:pt idx="2">
                  <c:v>0.1129284946790071</c:v>
                </c:pt>
                <c:pt idx="3">
                  <c:v>0.23499807288824498</c:v>
                </c:pt>
                <c:pt idx="4">
                  <c:v>0.37281563438689058</c:v>
                </c:pt>
                <c:pt idx="5">
                  <c:v>0.49874749330202722</c:v>
                </c:pt>
                <c:pt idx="6">
                  <c:v>0.58430857852691709</c:v>
                </c:pt>
                <c:pt idx="7">
                  <c:v>0.60424655665421168</c:v>
                </c:pt>
                <c:pt idx="8">
                  <c:v>0.54037054444092048</c:v>
                </c:pt>
                <c:pt idx="9">
                  <c:v>0.38464189221044681</c:v>
                </c:pt>
                <c:pt idx="10">
                  <c:v>0.14112000805986721</c:v>
                </c:pt>
                <c:pt idx="11">
                  <c:v>-0.17352026355757352</c:v>
                </c:pt>
                <c:pt idx="12">
                  <c:v>-0.53102453195382249</c:v>
                </c:pt>
                <c:pt idx="13">
                  <c:v>-0.89409600693916635</c:v>
                </c:pt>
                <c:pt idx="14">
                  <c:v>-1.2202060813790228</c:v>
                </c:pt>
                <c:pt idx="15">
                  <c:v>-1.4662951764976455</c:v>
                </c:pt>
                <c:pt idx="16">
                  <c:v>-1.5938633741373449</c:v>
                </c:pt>
                <c:pt idx="17">
                  <c:v>-1.5738849599571452</c:v>
                </c:pt>
                <c:pt idx="18">
                  <c:v>-1.3909760776007769</c:v>
                </c:pt>
                <c:pt idx="19">
                  <c:v>-1.0463025309355127</c:v>
                </c:pt>
                <c:pt idx="20">
                  <c:v>-0.55883099639785172</c:v>
                </c:pt>
                <c:pt idx="21">
                  <c:v>3.5309191017136261E-2</c:v>
                </c:pt>
                <c:pt idx="22">
                  <c:v>0.68539099972943318</c:v>
                </c:pt>
                <c:pt idx="23">
                  <c:v>1.3304114580928585</c:v>
                </c:pt>
                <c:pt idx="24">
                  <c:v>1.9048028732379663</c:v>
                </c:pt>
                <c:pt idx="25">
                  <c:v>2.3449999419368472</c:v>
                </c:pt>
                <c:pt idx="26">
                  <c:v>2.5962126979739732</c:v>
                </c:pt>
                <c:pt idx="27">
                  <c:v>2.6187024892817319</c:v>
                </c:pt>
                <c:pt idx="28">
                  <c:v>2.3928769426471876</c:v>
                </c:pt>
                <c:pt idx="29">
                  <c:v>1.9226107672383317</c:v>
                </c:pt>
                <c:pt idx="30">
                  <c:v>1.2363554557252698</c:v>
                </c:pt>
                <c:pt idx="31">
                  <c:v>0.38580871287189128</c:v>
                </c:pt>
                <c:pt idx="32">
                  <c:v>-0.55784569991354049</c:v>
                </c:pt>
                <c:pt idx="33">
                  <c:v>-1.5098684494585553</c:v>
                </c:pt>
                <c:pt idx="34">
                  <c:v>-2.3795739378180438</c:v>
                </c:pt>
                <c:pt idx="35">
                  <c:v>-3.078935159900845</c:v>
                </c:pt>
                <c:pt idx="36">
                  <c:v>-3.5313704282393696</c:v>
                </c:pt>
                <c:pt idx="37">
                  <c:v>-3.6798445763547596</c:v>
                </c:pt>
                <c:pt idx="38">
                  <c:v>-3.49344839752577</c:v>
                </c:pt>
                <c:pt idx="39">
                  <c:v>-2.9717359772842298</c:v>
                </c:pt>
                <c:pt idx="40">
                  <c:v>-2.1462916720017398</c:v>
                </c:pt>
                <c:pt idx="41">
                  <c:v>-1.0792503445997907</c:v>
                </c:pt>
                <c:pt idx="42">
                  <c:v>0.14121679832878159</c:v>
                </c:pt>
                <c:pt idx="43">
                  <c:v>1.4081400882920727</c:v>
                </c:pt>
                <c:pt idx="44">
                  <c:v>2.605123464711788</c:v>
                </c:pt>
                <c:pt idx="45">
                  <c:v>3.6170299194822944</c:v>
                </c:pt>
                <c:pt idx="46">
                  <c:v>4.3410000794428791</c:v>
                </c:pt>
                <c:pt idx="47">
                  <c:v>4.6967541271152138</c:v>
                </c:pt>
                <c:pt idx="48">
                  <c:v>4.6351573274365343</c:v>
                </c:pt>
                <c:pt idx="49">
                  <c:v>4.1441594726003741</c:v>
                </c:pt>
                <c:pt idx="50">
                  <c:v>3.2514392007855841</c:v>
                </c:pt>
                <c:pt idx="51">
                  <c:v>2.0233769229661296</c:v>
                </c:pt>
                <c:pt idx="52">
                  <c:v>0.5603189919571</c:v>
                </c:pt>
                <c:pt idx="53">
                  <c:v>-1.0115504812831944</c:v>
                </c:pt>
                <c:pt idx="54">
                  <c:v>-2.5510787265517343</c:v>
                </c:pt>
                <c:pt idx="55">
                  <c:v>-3.914819383030177</c:v>
                </c:pt>
                <c:pt idx="56">
                  <c:v>-4.9703753880564161</c:v>
                </c:pt>
                <c:pt idx="57">
                  <c:v>-5.6091705289653673</c:v>
                </c:pt>
                <c:pt idx="58">
                  <c:v>-5.7574244067296725</c:v>
                </c:pt>
                <c:pt idx="59">
                  <c:v>-5.3842364537679801</c:v>
                </c:pt>
                <c:pt idx="60">
                  <c:v>-4.5059234806300559</c:v>
                </c:pt>
                <c:pt idx="61">
                  <c:v>-3.1860823967230805</c:v>
                </c:pt>
                <c:pt idx="62">
                  <c:v>-1.5312367027670495</c:v>
                </c:pt>
                <c:pt idx="63">
                  <c:v>0.31766293318291067</c:v>
                </c:pt>
                <c:pt idx="64">
                  <c:v>2.197215544447352</c:v>
                </c:pt>
                <c:pt idx="65">
                  <c:v>3.9360091531774071</c:v>
                </c:pt>
                <c:pt idx="66">
                  <c:v>5.3702466675468816</c:v>
                </c:pt>
                <c:pt idx="67">
                  <c:v>6.359134509440894</c:v>
                </c:pt>
                <c:pt idx="68">
                  <c:v>6.7985917209701503</c:v>
                </c:pt>
                <c:pt idx="69">
                  <c:v>6.6319537990645978</c:v>
                </c:pt>
                <c:pt idx="70">
                  <c:v>5.8565894697523921</c:v>
                </c:pt>
                <c:pt idx="71">
                  <c:v>4.5257004326667145</c:v>
                </c:pt>
                <c:pt idx="72">
                  <c:v>2.7450035399155688</c:v>
                </c:pt>
                <c:pt idx="73">
                  <c:v>0.66446363825888943</c:v>
                </c:pt>
                <c:pt idx="74">
                  <c:v>-1.5342895124900406</c:v>
                </c:pt>
                <c:pt idx="75">
                  <c:v>-3.6538088434538216</c:v>
                </c:pt>
                <c:pt idx="76">
                  <c:v>-5.498560145936243</c:v>
                </c:pt>
                <c:pt idx="77">
                  <c:v>-6.8929427322115497</c:v>
                </c:pt>
                <c:pt idx="78">
                  <c:v>-7.6979413533410597</c:v>
                </c:pt>
                <c:pt idx="79">
                  <c:v>-7.8248356150875322</c:v>
                </c:pt>
                <c:pt idx="80">
                  <c:v>-7.2446268960529911</c:v>
                </c:pt>
                <c:pt idx="81">
                  <c:v>-5.9922065391309562</c:v>
                </c:pt>
                <c:pt idx="82">
                  <c:v>-4.1647520412031263</c:v>
                </c:pt>
                <c:pt idx="83">
                  <c:v>-1.9143593591973556</c:v>
                </c:pt>
                <c:pt idx="84">
                  <c:v>0.56454780921401926</c:v>
                </c:pt>
                <c:pt idx="85">
                  <c:v>3.0519960091884304</c:v>
                </c:pt>
                <c:pt idx="86">
                  <c:v>5.3219811902323135</c:v>
                </c:pt>
                <c:pt idx="87">
                  <c:v>7.1629971064212921</c:v>
                </c:pt>
                <c:pt idx="88">
                  <c:v>8.3977088315357431</c:v>
                </c:pt>
                <c:pt idx="89">
                  <c:v>8.8999443114274843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B93-4237-8DED-5D31ABC3F2A2}"/>
            </c:ext>
          </c:extLst>
        </c:ser>
        <c:ser>
          <c:idx val="2"/>
          <c:order val="2"/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rezonancia!$A$11:$A$100</c:f>
              <c:numCache>
                <c:formatCode>General</c:formatCode>
                <c:ptCount val="90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</c:numCache>
            </c:numRef>
          </c:xVal>
          <c:yVal>
            <c:numRef>
              <c:f>rezonancia!$D$11:$D$100</c:f>
              <c:numCache>
                <c:formatCode>General</c:formatCode>
                <c:ptCount val="90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B93-4237-8DED-5D31ABC3F2A2}"/>
            </c:ext>
          </c:extLst>
        </c:ser>
        <c:ser>
          <c:idx val="3"/>
          <c:order val="3"/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rezonancia!$A$11:$A$100</c:f>
              <c:numCache>
                <c:formatCode>General</c:formatCode>
                <c:ptCount val="90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</c:numCache>
            </c:numRef>
          </c:xVal>
          <c:yVal>
            <c:numRef>
              <c:f>rezonancia!$E$11:$E$100</c:f>
              <c:numCache>
                <c:formatCode>General</c:formatCode>
                <c:ptCount val="90"/>
                <c:pt idx="0">
                  <c:v>0</c:v>
                </c:pt>
                <c:pt idx="1">
                  <c:v>-0.1</c:v>
                </c:pt>
                <c:pt idx="2">
                  <c:v>-0.2</c:v>
                </c:pt>
                <c:pt idx="3">
                  <c:v>-0.3</c:v>
                </c:pt>
                <c:pt idx="4">
                  <c:v>-0.4</c:v>
                </c:pt>
                <c:pt idx="5">
                  <c:v>-0.5</c:v>
                </c:pt>
                <c:pt idx="6">
                  <c:v>-0.6</c:v>
                </c:pt>
                <c:pt idx="7">
                  <c:v>-0.7</c:v>
                </c:pt>
                <c:pt idx="8">
                  <c:v>-0.8</c:v>
                </c:pt>
                <c:pt idx="9">
                  <c:v>-0.9</c:v>
                </c:pt>
                <c:pt idx="10">
                  <c:v>-1</c:v>
                </c:pt>
                <c:pt idx="11">
                  <c:v>-1.1000000000000001</c:v>
                </c:pt>
                <c:pt idx="12">
                  <c:v>-1.2</c:v>
                </c:pt>
                <c:pt idx="13">
                  <c:v>-1.3</c:v>
                </c:pt>
                <c:pt idx="14">
                  <c:v>-1.4</c:v>
                </c:pt>
                <c:pt idx="15">
                  <c:v>-1.5</c:v>
                </c:pt>
                <c:pt idx="16">
                  <c:v>-1.6</c:v>
                </c:pt>
                <c:pt idx="17">
                  <c:v>-1.7</c:v>
                </c:pt>
                <c:pt idx="18">
                  <c:v>-1.8</c:v>
                </c:pt>
                <c:pt idx="19">
                  <c:v>-1.9</c:v>
                </c:pt>
                <c:pt idx="20">
                  <c:v>-2</c:v>
                </c:pt>
                <c:pt idx="21">
                  <c:v>-2.1</c:v>
                </c:pt>
                <c:pt idx="22">
                  <c:v>-2.2000000000000002</c:v>
                </c:pt>
                <c:pt idx="23">
                  <c:v>-2.2999999999999998</c:v>
                </c:pt>
                <c:pt idx="24">
                  <c:v>-2.4</c:v>
                </c:pt>
                <c:pt idx="25">
                  <c:v>-2.5</c:v>
                </c:pt>
                <c:pt idx="26">
                  <c:v>-2.6</c:v>
                </c:pt>
                <c:pt idx="27">
                  <c:v>-2.7</c:v>
                </c:pt>
                <c:pt idx="28">
                  <c:v>-2.8</c:v>
                </c:pt>
                <c:pt idx="29">
                  <c:v>-2.9</c:v>
                </c:pt>
                <c:pt idx="30">
                  <c:v>-3</c:v>
                </c:pt>
                <c:pt idx="31">
                  <c:v>-3.1</c:v>
                </c:pt>
                <c:pt idx="32">
                  <c:v>-3.2</c:v>
                </c:pt>
                <c:pt idx="33">
                  <c:v>-3.3</c:v>
                </c:pt>
                <c:pt idx="34">
                  <c:v>-3.4</c:v>
                </c:pt>
                <c:pt idx="35">
                  <c:v>-3.5</c:v>
                </c:pt>
                <c:pt idx="36">
                  <c:v>-3.6</c:v>
                </c:pt>
                <c:pt idx="37">
                  <c:v>-3.7</c:v>
                </c:pt>
                <c:pt idx="38">
                  <c:v>-3.8</c:v>
                </c:pt>
                <c:pt idx="39">
                  <c:v>-3.9</c:v>
                </c:pt>
                <c:pt idx="40">
                  <c:v>-4</c:v>
                </c:pt>
                <c:pt idx="41">
                  <c:v>-4.0999999999999996</c:v>
                </c:pt>
                <c:pt idx="42">
                  <c:v>-4.2</c:v>
                </c:pt>
                <c:pt idx="43">
                  <c:v>-4.3</c:v>
                </c:pt>
                <c:pt idx="44">
                  <c:v>-4.4000000000000004</c:v>
                </c:pt>
                <c:pt idx="45">
                  <c:v>-4.5</c:v>
                </c:pt>
                <c:pt idx="46">
                  <c:v>-4.5999999999999996</c:v>
                </c:pt>
                <c:pt idx="47">
                  <c:v>-4.7</c:v>
                </c:pt>
                <c:pt idx="48">
                  <c:v>-4.8</c:v>
                </c:pt>
                <c:pt idx="49">
                  <c:v>-4.9000000000000004</c:v>
                </c:pt>
                <c:pt idx="50">
                  <c:v>-5</c:v>
                </c:pt>
                <c:pt idx="51">
                  <c:v>-5.0999999999999996</c:v>
                </c:pt>
                <c:pt idx="52">
                  <c:v>-5.2</c:v>
                </c:pt>
                <c:pt idx="53">
                  <c:v>-5.3</c:v>
                </c:pt>
                <c:pt idx="54">
                  <c:v>-5.4</c:v>
                </c:pt>
                <c:pt idx="55">
                  <c:v>-5.5</c:v>
                </c:pt>
                <c:pt idx="56">
                  <c:v>-5.6</c:v>
                </c:pt>
                <c:pt idx="57">
                  <c:v>-5.7</c:v>
                </c:pt>
                <c:pt idx="58">
                  <c:v>-5.8</c:v>
                </c:pt>
                <c:pt idx="59">
                  <c:v>-5.9</c:v>
                </c:pt>
                <c:pt idx="60">
                  <c:v>-6</c:v>
                </c:pt>
                <c:pt idx="61">
                  <c:v>-6.1</c:v>
                </c:pt>
                <c:pt idx="62">
                  <c:v>-6.2</c:v>
                </c:pt>
                <c:pt idx="63">
                  <c:v>-6.3</c:v>
                </c:pt>
                <c:pt idx="64">
                  <c:v>-6.4</c:v>
                </c:pt>
                <c:pt idx="65">
                  <c:v>-6.5</c:v>
                </c:pt>
                <c:pt idx="66">
                  <c:v>-6.6</c:v>
                </c:pt>
                <c:pt idx="67">
                  <c:v>-6.7</c:v>
                </c:pt>
                <c:pt idx="68">
                  <c:v>-6.8</c:v>
                </c:pt>
                <c:pt idx="69">
                  <c:v>-6.9</c:v>
                </c:pt>
                <c:pt idx="70">
                  <c:v>-7</c:v>
                </c:pt>
                <c:pt idx="71">
                  <c:v>-7.1</c:v>
                </c:pt>
                <c:pt idx="72">
                  <c:v>-7.2</c:v>
                </c:pt>
                <c:pt idx="73">
                  <c:v>-7.3</c:v>
                </c:pt>
                <c:pt idx="74">
                  <c:v>-7.4</c:v>
                </c:pt>
                <c:pt idx="75">
                  <c:v>-7.5</c:v>
                </c:pt>
                <c:pt idx="76">
                  <c:v>-7.6</c:v>
                </c:pt>
                <c:pt idx="77">
                  <c:v>-7.7</c:v>
                </c:pt>
                <c:pt idx="78">
                  <c:v>-7.8</c:v>
                </c:pt>
                <c:pt idx="79">
                  <c:v>-7.9</c:v>
                </c:pt>
                <c:pt idx="80">
                  <c:v>-8</c:v>
                </c:pt>
                <c:pt idx="81">
                  <c:v>-8.1</c:v>
                </c:pt>
                <c:pt idx="82">
                  <c:v>-8.1999999999999993</c:v>
                </c:pt>
                <c:pt idx="83">
                  <c:v>-8.3000000000000007</c:v>
                </c:pt>
                <c:pt idx="84">
                  <c:v>-8.4</c:v>
                </c:pt>
                <c:pt idx="85">
                  <c:v>-8.5</c:v>
                </c:pt>
                <c:pt idx="86">
                  <c:v>-8.6</c:v>
                </c:pt>
                <c:pt idx="87">
                  <c:v>-8.6999999999999993</c:v>
                </c:pt>
                <c:pt idx="88">
                  <c:v>-8.8000000000000007</c:v>
                </c:pt>
                <c:pt idx="89">
                  <c:v>-8.9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B93-4237-8DED-5D31ABC3F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0664240"/>
        <c:axId val="1"/>
      </c:scatterChart>
      <c:valAx>
        <c:axId val="290664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u-HU"/>
                  <a:t>idő</a:t>
                </a:r>
              </a:p>
            </c:rich>
          </c:tx>
          <c:layout>
            <c:manualLayout>
              <c:xMode val="edge"/>
              <c:yMode val="edge"/>
              <c:x val="0.52320785851135698"/>
              <c:y val="0.873755547998360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u-HU"/>
                  <a:t>gerjesztés, kitérés</a:t>
                </a:r>
              </a:p>
            </c:rich>
          </c:tx>
          <c:layout>
            <c:manualLayout>
              <c:xMode val="edge"/>
              <c:yMode val="edge"/>
              <c:x val="3.3755274261603373E-2"/>
              <c:y val="0.332226611208482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29066424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u-HU"/>
              <a:t>y-aperiodikus hatareset  D=1</a:t>
            </a:r>
          </a:p>
        </c:rich>
      </c:tx>
      <c:layout>
        <c:manualLayout>
          <c:xMode val="edge"/>
          <c:yMode val="edge"/>
          <c:x val="0.30590783746968336"/>
          <c:y val="3.6544850498338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556992016482101"/>
          <c:y val="0.22259172321383672"/>
          <c:w val="0.67088745815091422"/>
          <c:h val="0.5481736467206426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'D -től függő speciális esetek'!$C$9</c:f>
              <c:strCache>
                <c:ptCount val="1"/>
                <c:pt idx="0">
                  <c:v>yaperiodikus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'D -től függő speciális esetek'!$A$10:$A$35</c:f>
              <c:numCache>
                <c:formatCode>General</c:formatCode>
                <c:ptCount val="26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</c:numCache>
            </c:numRef>
          </c:xVal>
          <c:yVal>
            <c:numRef>
              <c:f>'D -től függő speciális esetek'!$C$10:$C$35</c:f>
              <c:numCache>
                <c:formatCode>General</c:formatCode>
                <c:ptCount val="26"/>
                <c:pt idx="0">
                  <c:v>1</c:v>
                </c:pt>
                <c:pt idx="1">
                  <c:v>0.72783679165516013</c:v>
                </c:pt>
                <c:pt idx="2">
                  <c:v>0.51503121764001925</c:v>
                </c:pt>
                <c:pt idx="3">
                  <c:v>0.35700825623748772</c:v>
                </c:pt>
                <c:pt idx="4">
                  <c:v>0.24360350982590287</c:v>
                </c:pt>
                <c:pt idx="5">
                  <c:v>0.1641699972477976</c:v>
                </c:pt>
                <c:pt idx="6">
                  <c:v>0.10953155040930068</c:v>
                </c:pt>
                <c:pt idx="7">
                  <c:v>7.2473720213564394E-2</c:v>
                </c:pt>
                <c:pt idx="8">
                  <c:v>4.7620661110708867E-2</c:v>
                </c:pt>
                <c:pt idx="9">
                  <c:v>3.1105190307078454E-2</c:v>
                </c:pt>
                <c:pt idx="10">
                  <c:v>2.0213840997256399E-2</c:v>
                </c:pt>
                <c:pt idx="11">
                  <c:v>1.3077668603085013E-2</c:v>
                </c:pt>
                <c:pt idx="12">
                  <c:v>8.427757400665618E-3</c:v>
                </c:pt>
                <c:pt idx="13">
                  <c:v>5.412381094719261E-3</c:v>
                </c:pt>
                <c:pt idx="14">
                  <c:v>3.4651514691071616E-3</c:v>
                </c:pt>
                <c:pt idx="15">
                  <c:v>2.2123374805913345E-3</c:v>
                </c:pt>
                <c:pt idx="16">
                  <c:v>1.4089430371905499E-3</c:v>
                </c:pt>
                <c:pt idx="17">
                  <c:v>8.9526082364683437E-4</c:v>
                </c:pt>
                <c:pt idx="18">
                  <c:v>5.6768509879872588E-4</c:v>
                </c:pt>
                <c:pt idx="19">
                  <c:v>3.5928878346096286E-4</c:v>
                </c:pt>
                <c:pt idx="20">
                  <c:v>2.2699964881242428E-4</c:v>
                </c:pt>
                <c:pt idx="21">
                  <c:v>1.4318953661868522E-4</c:v>
                </c:pt>
                <c:pt idx="22">
                  <c:v>9.0189184267326563E-5</c:v>
                </c:pt>
                <c:pt idx="23">
                  <c:v>5.6728524152331974E-5</c:v>
                </c:pt>
                <c:pt idx="24">
                  <c:v>3.5636431649303617E-5</c:v>
                </c:pt>
                <c:pt idx="25">
                  <c:v>2.2359919032472026E-5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D37-4B97-B225-F75E98336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0663912"/>
        <c:axId val="1"/>
      </c:scatterChart>
      <c:valAx>
        <c:axId val="290663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u-HU"/>
                  <a:t>ido</a:t>
                </a:r>
              </a:p>
            </c:rich>
          </c:tx>
          <c:layout>
            <c:manualLayout>
              <c:xMode val="edge"/>
              <c:yMode val="edge"/>
              <c:x val="0.45569708849684926"/>
              <c:y val="0.873755547998360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u-HU"/>
                  <a:t>kiteres</a:t>
                </a:r>
              </a:p>
            </c:rich>
          </c:tx>
          <c:layout>
            <c:manualLayout>
              <c:xMode val="edge"/>
              <c:yMode val="edge"/>
              <c:x val="3.3755274261603373E-2"/>
              <c:y val="0.418605348750010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29066391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28709702426437"/>
          <c:y val="0.461794717520775"/>
          <c:w val="0.12025338604826297"/>
          <c:h val="7.30897009966777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'Csillapított függvények előáll.'!$C$4</c:f>
              <c:strCache>
                <c:ptCount val="1"/>
                <c:pt idx="0">
                  <c:v>q1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'Csillapított függvények előáll.'!$B$5:$B$155</c:f>
              <c:numCache>
                <c:formatCode>General</c:formatCode>
                <c:ptCount val="15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</c:numCache>
            </c:numRef>
          </c:cat>
          <c:val>
            <c:numRef>
              <c:f>'Csillapított függvények előáll.'!$C$5:$C$155</c:f>
              <c:numCache>
                <c:formatCode>General</c:formatCode>
                <c:ptCount val="151"/>
                <c:pt idx="0">
                  <c:v>0.18251455000000003</c:v>
                </c:pt>
                <c:pt idx="1">
                  <c:v>0.17520925182730407</c:v>
                </c:pt>
                <c:pt idx="2">
                  <c:v>0.16600662329032964</c:v>
                </c:pt>
                <c:pt idx="3">
                  <c:v>0.15547359363730173</c:v>
                </c:pt>
                <c:pt idx="4">
                  <c:v>0.14407920209586703</c:v>
                </c:pt>
                <c:pt idx="5">
                  <c:v>0.13220760712997162</c:v>
                </c:pt>
                <c:pt idx="6">
                  <c:v>0.12016974880216599</c:v>
                </c:pt>
                <c:pt idx="7">
                  <c:v>0.10821375213992701</c:v>
                </c:pt>
                <c:pt idx="8">
                  <c:v>9.6534162695767659E-2</c:v>
                </c:pt>
                <c:pt idx="9">
                  <c:v>8.5280106407750772E-2</c:v>
                </c:pt>
                <c:pt idx="10">
                  <c:v>7.4562464916872018E-2</c:v>
                </c:pt>
                <c:pt idx="11">
                  <c:v>6.4460155109767811E-2</c:v>
                </c:pt>
                <c:pt idx="12">
                  <c:v>5.502559818981731E-2</c:v>
                </c:pt>
                <c:pt idx="13">
                  <c:v>4.6289459337367986E-2</c:v>
                </c:pt>
                <c:pt idx="14">
                  <c:v>3.8264734248720955E-2</c:v>
                </c:pt>
                <c:pt idx="15">
                  <c:v>3.0950253746681831E-2</c:v>
                </c:pt>
                <c:pt idx="16">
                  <c:v>2.4333672397028265E-2</c:v>
                </c:pt>
                <c:pt idx="17">
                  <c:v>1.8394001776010516E-2</c:v>
                </c:pt>
                <c:pt idx="18">
                  <c:v>1.3103743816520096E-2</c:v>
                </c:pt>
                <c:pt idx="19">
                  <c:v>8.4306745934566753E-3</c:v>
                </c:pt>
                <c:pt idx="20">
                  <c:v>4.3393240506539484E-3</c:v>
                </c:pt>
                <c:pt idx="21">
                  <c:v>7.9219256435470592E-4</c:v>
                </c:pt>
                <c:pt idx="22">
                  <c:v>-2.2492590902528642E-3</c:v>
                </c:pt>
                <c:pt idx="23">
                  <c:v>-4.8238138356611927E-3</c:v>
                </c:pt>
                <c:pt idx="24">
                  <c:v>-6.9698676472689097E-3</c:v>
                </c:pt>
                <c:pt idx="25">
                  <c:v>-8.7249387877592968E-3</c:v>
                </c:pt>
                <c:pt idx="26">
                  <c:v>-1.0125294667266613E-2</c:v>
                </c:pt>
                <c:pt idx="27">
                  <c:v>-1.1205676912368418E-2</c:v>
                </c:pt>
                <c:pt idx="28">
                  <c:v>-1.1999107786205851E-2</c:v>
                </c:pt>
                <c:pt idx="29">
                  <c:v>-1.2536763398954019E-2</c:v>
                </c:pt>
                <c:pt idx="30">
                  <c:v>-1.2847901198723496E-2</c:v>
                </c:pt>
                <c:pt idx="31">
                  <c:v>-1.29598310549236E-2</c:v>
                </c:pt>
                <c:pt idx="32">
                  <c:v>-1.2897920856676921E-2</c:v>
                </c:pt>
                <c:pt idx="33">
                  <c:v>-1.2685628965528288E-2</c:v>
                </c:pt>
                <c:pt idx="34">
                  <c:v>-1.2344557101588396E-2</c:v>
                </c:pt>
                <c:pt idx="35">
                  <c:v>-1.1894518321962901E-2</c:v>
                </c:pt>
                <c:pt idx="36">
                  <c:v>-1.1353615685666901E-2</c:v>
                </c:pt>
                <c:pt idx="37">
                  <c:v>-1.0738328005165916E-2</c:v>
                </c:pt>
                <c:pt idx="38">
                  <c:v>-1.0063599775224228E-2</c:v>
                </c:pt>
                <c:pt idx="39">
                  <c:v>-9.3429329578929715E-3</c:v>
                </c:pt>
                <c:pt idx="40">
                  <c:v>-8.588478800237824E-3</c:v>
                </c:pt>
                <c:pt idx="41">
                  <c:v>-7.8111282797881081E-3</c:v>
                </c:pt>
                <c:pt idx="42">
                  <c:v>-7.0206001217037444E-3</c:v>
                </c:pt>
                <c:pt idx="43">
                  <c:v>-6.2255256203723637E-3</c:v>
                </c:pt>
                <c:pt idx="44">
                  <c:v>-5.4335297347330334E-3</c:v>
                </c:pt>
                <c:pt idx="45">
                  <c:v>-4.6513081183896252E-3</c:v>
                </c:pt>
                <c:pt idx="46">
                  <c:v>-3.8846998990425749E-3</c:v>
                </c:pt>
                <c:pt idx="47">
                  <c:v>-3.1387561427100872E-3</c:v>
                </c:pt>
                <c:pt idx="48">
                  <c:v>-2.4178040317230404E-3</c:v>
                </c:pt>
                <c:pt idx="49">
                  <c:v>-1.7255068560335833E-3</c:v>
                </c:pt>
                <c:pt idx="50">
                  <c:v>-1.0649199688770358E-3</c:v>
                </c:pt>
                <c:pt idx="51">
                  <c:v>-4.3854289365947009E-4</c:v>
                </c:pt>
                <c:pt idx="52">
                  <c:v>1.5163220796610572E-4</c:v>
                </c:pt>
                <c:pt idx="53">
                  <c:v>7.0407548401166481E-4</c:v>
                </c:pt>
                <c:pt idx="54">
                  <c:v>1.2176775284587114E-3</c:v>
                </c:pt>
                <c:pt idx="55">
                  <c:v>1.6917104798605022E-3</c:v>
                </c:pt>
                <c:pt idx="56">
                  <c:v>2.1257918623925863E-3</c:v>
                </c:pt>
                <c:pt idx="57">
                  <c:v>2.5198509592187224E-3</c:v>
                </c:pt>
                <c:pt idx="58">
                  <c:v>2.8740975201726913E-3</c:v>
                </c:pt>
                <c:pt idx="59">
                  <c:v>3.1889926194439014E-3</c:v>
                </c:pt>
                <c:pt idx="60">
                  <c:v>3.4652214934997919E-3</c:v>
                </c:pt>
                <c:pt idx="61">
                  <c:v>3.7036682043243901E-3</c:v>
                </c:pt>
                <c:pt idx="62">
                  <c:v>3.9053919877662735E-3</c:v>
                </c:pt>
                <c:pt idx="63">
                  <c:v>4.0716051610382512E-3</c:v>
                </c:pt>
                <c:pt idx="64">
                  <c:v>4.2036524769492149E-3</c:v>
                </c:pt>
                <c:pt idx="65">
                  <c:v>4.3029918251018626E-3</c:v>
                </c:pt>
                <c:pt idx="66">
                  <c:v>4.3711761919432617E-3</c:v>
                </c:pt>
                <c:pt idx="67">
                  <c:v>4.4098368021422965E-3</c:v>
                </c:pt>
                <c:pt idx="68">
                  <c:v>4.4206673732610051E-3</c:v>
                </c:pt>
                <c:pt idx="69">
                  <c:v>4.4054094240900885E-3</c:v>
                </c:pt>
                <c:pt idx="70">
                  <c:v>4.3658385843595836E-3</c:v>
                </c:pt>
                <c:pt idx="71">
                  <c:v>4.3037518598603242E-3</c:v>
                </c:pt>
                <c:pt idx="72">
                  <c:v>4.2209558123800627E-3</c:v>
                </c:pt>
                <c:pt idx="73">
                  <c:v>4.1192556183386915E-3</c:v>
                </c:pt>
                <c:pt idx="74">
                  <c:v>4.0004449736752582E-3</c:v>
                </c:pt>
                <c:pt idx="75">
                  <c:v>3.8662968154731759E-3</c:v>
                </c:pt>
                <c:pt idx="76">
                  <c:v>3.7185548330887063E-3</c:v>
                </c:pt>
                <c:pt idx="77">
                  <c:v>3.5589257432496551E-3</c:v>
                </c:pt>
                <c:pt idx="78">
                  <c:v>3.389072304792335E-3</c:v>
                </c:pt>
                <c:pt idx="79">
                  <c:v>3.2106070494783592E-3</c:v>
                </c:pt>
                <c:pt idx="80">
                  <c:v>3.025086705747357E-3</c:v>
                </c:pt>
                <c:pt idx="81">
                  <c:v>2.8340072923815724E-3</c:v>
                </c:pt>
                <c:pt idx="82">
                  <c:v>2.6387998589429322E-3</c:v>
                </c:pt>
                <c:pt idx="83">
                  <c:v>2.4408268495464381E-3</c:v>
                </c:pt>
                <c:pt idx="84">
                  <c:v>2.2413790661049565E-3</c:v>
                </c:pt>
                <c:pt idx="85">
                  <c:v>2.0416732066628703E-3</c:v>
                </c:pt>
                <c:pt idx="86">
                  <c:v>1.8428499538689319E-3</c:v>
                </c:pt>
                <c:pt idx="87">
                  <c:v>1.6459725880551717E-3</c:v>
                </c:pt>
                <c:pt idx="88">
                  <c:v>1.4520260988185457E-3</c:v>
                </c:pt>
                <c:pt idx="89">
                  <c:v>1.2619167684694876E-3</c:v>
                </c:pt>
                <c:pt idx="90">
                  <c:v>1.0764722002375641E-3</c:v>
                </c:pt>
                <c:pt idx="91">
                  <c:v>8.9644176372580123E-4</c:v>
                </c:pt>
                <c:pt idx="92">
                  <c:v>7.2249742979512799E-4</c:v>
                </c:pt>
                <c:pt idx="93">
                  <c:v>5.5523496684914918E-4</c:v>
                </c:pt>
                <c:pt idx="94">
                  <c:v>3.9517547038426935E-4</c:v>
                </c:pt>
                <c:pt idx="95">
                  <c:v>2.4276719767561309E-4</c:v>
                </c:pt>
                <c:pt idx="96">
                  <c:v>9.8387679587794301E-5</c:v>
                </c:pt>
                <c:pt idx="97">
                  <c:v>-3.7653918268466305E-5</c:v>
                </c:pt>
                <c:pt idx="98">
                  <c:v>-1.6511421246897547E-4</c:v>
                </c:pt>
                <c:pt idx="99">
                  <c:v>-2.8381282378010271E-4</c:v>
                </c:pt>
                <c:pt idx="100">
                  <c:v>-3.9362943065881405E-4</c:v>
                </c:pt>
                <c:pt idx="101">
                  <c:v>-4.9450068001638894E-4</c:v>
                </c:pt>
                <c:pt idx="102">
                  <c:v>-5.8641698026351335E-4</c:v>
                </c:pt>
                <c:pt idx="103">
                  <c:v>-6.6941920081851696E-4</c:v>
                </c:pt>
                <c:pt idx="104">
                  <c:v>-7.4359530134608957E-4</c:v>
                </c:pt>
                <c:pt idx="105">
                  <c:v>-8.0907691300885248E-4</c:v>
                </c:pt>
                <c:pt idx="106">
                  <c:v>-8.6603589296709255E-4</c:v>
                </c:pt>
                <c:pt idx="107">
                  <c:v>-9.1468087226102552E-4</c:v>
                </c:pt>
                <c:pt idx="108">
                  <c:v>-9.5525381606370954E-4</c:v>
                </c:pt>
                <c:pt idx="109">
                  <c:v>-9.8802661410964023E-4</c:v>
                </c:pt>
                <c:pt idx="110">
                  <c:v>-1.0132977178924146E-3</c:v>
                </c:pt>
                <c:pt idx="111">
                  <c:v>-1.0313888399927085E-3</c:v>
                </c:pt>
                <c:pt idx="112">
                  <c:v>-1.0426417296532065E-3</c:v>
                </c:pt>
                <c:pt idx="113">
                  <c:v>-1.0474150374674416E-3</c:v>
                </c:pt>
                <c:pt idx="114">
                  <c:v>-1.0460812808020476E-3</c:v>
                </c:pt>
                <c:pt idx="115">
                  <c:v>-1.0390239203335065E-3</c:v>
                </c:pt>
                <c:pt idx="116">
                  <c:v>-1.0266345568574616E-3</c:v>
                </c:pt>
                <c:pt idx="117">
                  <c:v>-1.0093102563270449E-3</c:v>
                </c:pt>
                <c:pt idx="118">
                  <c:v>-9.8745100990195022E-4</c:v>
                </c:pt>
                <c:pt idx="119">
                  <c:v>-9.6145733464713464E-4</c:v>
                </c:pt>
                <c:pt idx="120">
                  <c:v>-9.3172801941371949E-4</c:v>
                </c:pt>
                <c:pt idx="121">
                  <c:v>-8.9865801936888181E-4</c:v>
                </c:pt>
                <c:pt idx="122">
                  <c:v>-8.6263650161989261E-4</c:v>
                </c:pt>
                <c:pt idx="123">
                  <c:v>-8.2404504340316423E-4</c:v>
                </c:pt>
                <c:pt idx="124">
                  <c:v>-7.832559833848325E-4</c:v>
                </c:pt>
                <c:pt idx="125">
                  <c:v>-7.4063092574725494E-4</c:v>
                </c:pt>
                <c:pt idx="126">
                  <c:v>-6.9651939591768865E-4</c:v>
                </c:pt>
                <c:pt idx="127">
                  <c:v>-6.5125764603263638E-4</c:v>
                </c:pt>
                <c:pt idx="128">
                  <c:v>-6.0516760752491307E-4</c:v>
                </c:pt>
                <c:pt idx="129">
                  <c:v>-5.5855598757099142E-4</c:v>
                </c:pt>
                <c:pt idx="130">
                  <c:v>-5.1171350554380887E-4</c:v>
                </c:pt>
                <c:pt idx="131">
                  <c:v>-4.6491426508089281E-4</c:v>
                </c:pt>
                <c:pt idx="132">
                  <c:v>-4.1841525689892981E-4</c:v>
                </c:pt>
                <c:pt idx="133">
                  <c:v>-3.7245598706300072E-4</c:v>
                </c:pt>
                <c:pt idx="134">
                  <c:v>-3.2725822505069165E-4</c:v>
                </c:pt>
                <c:pt idx="135">
                  <c:v>-2.8302586563683533E-4</c:v>
                </c:pt>
                <c:pt idx="136">
                  <c:v>-2.3994489836230254E-4</c:v>
                </c:pt>
                <c:pt idx="137">
                  <c:v>-1.9818347813832518E-4</c:v>
                </c:pt>
                <c:pt idx="138">
                  <c:v>-1.5789209037445643E-4</c:v>
                </c:pt>
                <c:pt idx="139">
                  <c:v>-1.1920380390135658E-4</c:v>
                </c:pt>
                <c:pt idx="140">
                  <c:v>-8.2234604887055442E-5</c:v>
                </c:pt>
                <c:pt idx="141">
                  <c:v>-4.7083804914781802E-5</c:v>
                </c:pt>
                <c:pt idx="142">
                  <c:v>-1.383451639958722E-5</c:v>
                </c:pt>
                <c:pt idx="143">
                  <c:v>1.7445811432697215E-5</c:v>
                </c:pt>
                <c:pt idx="144">
                  <c:v>4.6704802699694005E-5</c:v>
                </c:pt>
                <c:pt idx="145">
                  <c:v>7.3904517732345686E-5</c:v>
                </c:pt>
                <c:pt idx="146">
                  <c:v>9.9020775100297948E-5</c:v>
                </c:pt>
                <c:pt idx="147">
                  <c:v>1.2204243906318682E-4</c:v>
                </c:pt>
                <c:pt idx="148">
                  <c:v>1.429706785244181E-4</c:v>
                </c:pt>
                <c:pt idx="149">
                  <c:v>1.6181820334841814E-4</c:v>
                </c:pt>
                <c:pt idx="150">
                  <c:v>1.7860848366753085E-4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36-45C3-B1E8-9E5EB8A47C3B}"/>
            </c:ext>
          </c:extLst>
        </c:ser>
        <c:ser>
          <c:idx val="1"/>
          <c:order val="1"/>
          <c:tx>
            <c:strRef>
              <c:f>'Csillapított függvények előáll.'!$D$4</c:f>
              <c:strCache>
                <c:ptCount val="1"/>
                <c:pt idx="0">
                  <c:v>q2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'Csillapított függvények előáll.'!$B$5:$B$155</c:f>
              <c:numCache>
                <c:formatCode>General</c:formatCode>
                <c:ptCount val="15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</c:numCache>
            </c:numRef>
          </c:cat>
          <c:val>
            <c:numRef>
              <c:f>'Csillapított függvények előáll.'!$D$5:$D$155</c:f>
              <c:numCache>
                <c:formatCode>General</c:formatCode>
                <c:ptCount val="151"/>
                <c:pt idx="0">
                  <c:v>-0.19077212500000001</c:v>
                </c:pt>
                <c:pt idx="1">
                  <c:v>-0.18944137291848043</c:v>
                </c:pt>
                <c:pt idx="2">
                  <c:v>-0.18490716495753085</c:v>
                </c:pt>
                <c:pt idx="3">
                  <c:v>-0.1779715463400566</c:v>
                </c:pt>
                <c:pt idx="4">
                  <c:v>-0.16930452689560316</c:v>
                </c:pt>
                <c:pt idx="5">
                  <c:v>-0.15946035633971245</c:v>
                </c:pt>
                <c:pt idx="6">
                  <c:v>-0.14889244076635821</c:v>
                </c:pt>
                <c:pt idx="7">
                  <c:v>-0.13796691273717895</c:v>
                </c:pt>
                <c:pt idx="8">
                  <c:v>-0.12697489049853009</c:v>
                </c:pt>
                <c:pt idx="9">
                  <c:v>-0.11614347922232002</c:v>
                </c:pt>
                <c:pt idx="10">
                  <c:v>-0.10564557968990533</c:v>
                </c:pt>
                <c:pt idx="11">
                  <c:v>-9.5608578346388529E-2</c:v>
                </c:pt>
                <c:pt idx="12">
                  <c:v>-8.6121997866861491E-2</c:v>
                </c:pt>
                <c:pt idx="13">
                  <c:v>-7.7244189922128337E-2</c:v>
                </c:pt>
                <c:pt idx="14">
                  <c:v>-6.9008152248223695E-2</c:v>
                </c:pt>
                <c:pt idx="15">
                  <c:v>-6.1426550872735165E-2</c:v>
                </c:pt>
                <c:pt idx="16">
                  <c:v>-5.4496025823065133E-2</c:v>
                </c:pt>
                <c:pt idx="17">
                  <c:v>-4.820085516708001E-2</c:v>
                </c:pt>
                <c:pt idx="18">
                  <c:v>-4.2516048090367527E-2</c:v>
                </c:pt>
                <c:pt idx="19">
                  <c:v>-3.7409933124055175E-2</c:v>
                </c:pt>
                <c:pt idx="20">
                  <c:v>-3.2846302788731359E-2</c:v>
                </c:pt>
                <c:pt idx="21">
                  <c:v>-2.8786170963343155E-2</c:v>
                </c:pt>
                <c:pt idx="22">
                  <c:v>-2.5189194341962845E-2</c:v>
                </c:pt>
                <c:pt idx="23">
                  <c:v>-2.201480449854331E-2</c:v>
                </c:pt>
                <c:pt idx="24">
                  <c:v>-1.922309241038064E-2</c:v>
                </c:pt>
                <c:pt idx="25">
                  <c:v>-1.6775482846345072E-2</c:v>
                </c:pt>
                <c:pt idx="26">
                  <c:v>-1.4635231841770104E-2</c:v>
                </c:pt>
                <c:pt idx="27">
                  <c:v>-1.2767776581073672E-2</c:v>
                </c:pt>
                <c:pt idx="28">
                  <c:v>-1.11409634041208E-2</c:v>
                </c:pt>
                <c:pt idx="29">
                  <c:v>-9.7251763470135363E-3</c:v>
                </c:pt>
                <c:pt idx="30">
                  <c:v>-8.4933856197741374E-3</c:v>
                </c:pt>
                <c:pt idx="31">
                  <c:v>-7.4211327045167899E-3</c:v>
                </c:pt>
                <c:pt idx="32">
                  <c:v>-6.4864663165859317E-3</c:v>
                </c:pt>
                <c:pt idx="33">
                  <c:v>-5.6698412934096708E-3</c:v>
                </c:pt>
                <c:pt idx="34">
                  <c:v>-4.9539905452230509E-3</c:v>
                </c:pt>
                <c:pt idx="35">
                  <c:v>-4.3237785009490291E-3</c:v>
                </c:pt>
                <c:pt idx="36">
                  <c:v>-3.7660429934083307E-3</c:v>
                </c:pt>
                <c:pt idx="37">
                  <c:v>-3.2694312325870097E-3</c:v>
                </c:pt>
                <c:pt idx="38">
                  <c:v>-2.8242343961180287E-3</c:v>
                </c:pt>
                <c:pt idx="39">
                  <c:v>-2.4222244051778268E-3</c:v>
                </c:pt>
                <c:pt idx="40">
                  <c:v>-2.0564956351702629E-3</c:v>
                </c:pt>
                <c:pt idx="41">
                  <c:v>-1.7213136182873199E-3</c:v>
                </c:pt>
                <c:pt idx="42">
                  <c:v>-1.4119722147269375E-3</c:v>
                </c:pt>
                <c:pt idx="43">
                  <c:v>-1.1246602475063197E-3</c:v>
                </c:pt>
                <c:pt idx="44">
                  <c:v>-8.5633820001754127E-4</c:v>
                </c:pt>
                <c:pt idx="45">
                  <c:v>-6.046252544020718E-4</c:v>
                </c:pt>
                <c:pt idx="46">
                  <c:v>-3.6769669220806651E-4</c:v>
                </c:pt>
                <c:pt idx="47">
                  <c:v>-1.4419147740217346E-4</c:v>
                </c:pt>
                <c:pt idx="48">
                  <c:v>6.6870312622973205E-5</c:v>
                </c:pt>
                <c:pt idx="49">
                  <c:v>2.6616065721179636E-4</c:v>
                </c:pt>
                <c:pt idx="50">
                  <c:v>4.5410789461039995E-4</c:v>
                </c:pt>
                <c:pt idx="51">
                  <c:v>6.3095274117292083E-4</c:v>
                </c:pt>
                <c:pt idx="52">
                  <c:v>7.9679664436352478E-4</c:v>
                </c:pt>
                <c:pt idx="53">
                  <c:v>9.5164309982412223E-4</c:v>
                </c:pt>
                <c:pt idx="54">
                  <c:v>1.0954325617965805E-3</c:v>
                </c:pt>
                <c:pt idx="55">
                  <c:v>1.2280715638721994E-3</c:v>
                </c:pt>
                <c:pt idx="56">
                  <c:v>1.3494566460739289E-3</c:v>
                </c:pt>
                <c:pt idx="57">
                  <c:v>1.4594936569171145E-3</c:v>
                </c:pt>
                <c:pt idx="58">
                  <c:v>1.5581129672268216E-3</c:v>
                </c:pt>
                <c:pt idx="59">
                  <c:v>1.6452810976704127E-3</c:v>
                </c:pt>
                <c:pt idx="60">
                  <c:v>1.7210092254646696E-3</c:v>
                </c:pt>
                <c:pt idx="61">
                  <c:v>1.7853589985618171E-3</c:v>
                </c:pt>
                <c:pt idx="62">
                  <c:v>1.8384460486215067E-3</c:v>
                </c:pt>
                <c:pt idx="63">
                  <c:v>1.8804415578685979E-3</c:v>
                </c:pt>
                <c:pt idx="64">
                  <c:v>1.9115721999990658E-3</c:v>
                </c:pt>
                <c:pt idx="65">
                  <c:v>1.9321187419801291E-3</c:v>
                </c:pt>
                <c:pt idx="66">
                  <c:v>1.94241356214077E-3</c:v>
                </c:pt>
                <c:pt idx="67">
                  <c:v>1.9428373105222882E-3</c:v>
                </c:pt>
                <c:pt idx="68">
                  <c:v>1.9338149101414104E-3</c:v>
                </c:pt>
                <c:pt idx="69">
                  <c:v>1.9158110726394267E-3</c:v>
                </c:pt>
                <c:pt idx="70">
                  <c:v>1.8893254787334412E-3</c:v>
                </c:pt>
                <c:pt idx="71">
                  <c:v>1.854887752898804E-3</c:v>
                </c:pt>
                <c:pt idx="72">
                  <c:v>1.8130523427177844E-3</c:v>
                </c:pt>
                <c:pt idx="73">
                  <c:v>1.764393396232149E-3</c:v>
                </c:pt>
                <c:pt idx="74">
                  <c:v>1.7094997153272653E-3</c:v>
                </c:pt>
                <c:pt idx="75">
                  <c:v>1.648969849535487E-3</c:v>
                </c:pt>
                <c:pt idx="76">
                  <c:v>1.5834073825554092E-3</c:v>
                </c:pt>
                <c:pt idx="77">
                  <c:v>1.5134164531192095E-3</c:v>
                </c:pt>
                <c:pt idx="78">
                  <c:v>1.4395975424819382E-3</c:v>
                </c:pt>
                <c:pt idx="79">
                  <c:v>1.3625435526374075E-3</c:v>
                </c:pt>
                <c:pt idx="80">
                  <c:v>1.2828361922730977E-3</c:v>
                </c:pt>
                <c:pt idx="81">
                  <c:v>1.2010426813549525E-3</c:v>
                </c:pt>
                <c:pt idx="82">
                  <c:v>1.1177127799825222E-3</c:v>
                </c:pt>
                <c:pt idx="83">
                  <c:v>1.0333761426827544E-3</c:v>
                </c:pt>
                <c:pt idx="84">
                  <c:v>9.4853999553130288E-4</c:v>
                </c:pt>
                <c:pt idx="85">
                  <c:v>8.6368713032480642E-4</c:v>
                </c:pt>
                <c:pt idx="86">
                  <c:v>7.7927420740468766E-4</c:v>
                </c:pt>
                <c:pt idx="87">
                  <c:v>6.9573035658747329E-4</c:v>
                </c:pt>
                <c:pt idx="88">
                  <c:v>6.1345606392997163E-4</c:v>
                </c:pt>
                <c:pt idx="89">
                  <c:v>5.3282233069709001E-4</c:v>
                </c:pt>
                <c:pt idx="90">
                  <c:v>4.5417008985853175E-4</c:v>
                </c:pt>
                <c:pt idx="91">
                  <c:v>3.7780986467623225E-4</c:v>
                </c:pt>
                <c:pt idx="92">
                  <c:v>3.0402165341975507E-4</c:v>
                </c:pt>
                <c:pt idx="93">
                  <c:v>2.3305502392915518E-4</c:v>
                </c:pt>
                <c:pt idx="94">
                  <c:v>1.6512940160489956E-4</c:v>
                </c:pt>
                <c:pt idx="95">
                  <c:v>1.0043453441669249E-4</c:v>
                </c:pt>
                <c:pt idx="96">
                  <c:v>3.913111866509039E-5</c:v>
                </c:pt>
                <c:pt idx="97">
                  <c:v>-1.8648430518140836E-5</c:v>
                </c:pt>
                <c:pt idx="98">
                  <c:v>-7.2799079600078406E-5</c:v>
                </c:pt>
                <c:pt idx="99">
                  <c:v>-1.2324216325357512E-4</c:v>
                </c:pt>
                <c:pt idx="100">
                  <c:v>-1.6992427190028878E-4</c:v>
                </c:pt>
                <c:pt idx="101">
                  <c:v>-2.1281605440864066E-4</c:v>
                </c:pt>
                <c:pt idx="102">
                  <c:v>-2.5191094958206233E-4</c:v>
                </c:pt>
                <c:pt idx="103">
                  <c:v>-2.8722385945516185E-4</c:v>
                </c:pt>
                <c:pt idx="104">
                  <c:v>-3.1878977677108651E-4</c:v>
                </c:pt>
                <c:pt idx="105">
                  <c:v>-3.4666237834913471E-4</c:v>
                </c:pt>
                <c:pt idx="106">
                  <c:v>-3.7091259537352673E-4</c:v>
                </c:pt>
                <c:pt idx="107">
                  <c:v>-3.9162717094737021E-4</c:v>
                </c:pt>
                <c:pt idx="108">
                  <c:v>-4.0890721456484389E-4</c:v>
                </c:pt>
                <c:pt idx="109">
                  <c:v>-4.2286676246359729E-4</c:v>
                </c:pt>
                <c:pt idx="110">
                  <c:v>-4.336313521318955E-4</c:v>
                </c:pt>
                <c:pt idx="111">
                  <c:v>-4.4133661856433774E-4</c:v>
                </c:pt>
                <c:pt idx="112">
                  <c:v>-4.4612691918896559E-4</c:v>
                </c:pt>
                <c:pt idx="113">
                  <c:v>-4.4815399372972309E-4</c:v>
                </c:pt>
                <c:pt idx="114">
                  <c:v>-4.475756646238705E-4</c:v>
                </c:pt>
                <c:pt idx="115">
                  <c:v>-4.4455458298608606E-4</c:v>
                </c:pt>
                <c:pt idx="116">
                  <c:v>-4.3925702450142029E-4</c:v>
                </c:pt>
                <c:pt idx="117">
                  <c:v>-4.3185173903957939E-4</c:v>
                </c:pt>
                <c:pt idx="118">
                  <c:v>-4.2250885721463249E-4</c:v>
                </c:pt>
                <c:pt idx="119">
                  <c:v>-4.1139885656834836E-4</c:v>
                </c:pt>
                <c:pt idx="120">
                  <c:v>-3.9869158953306159E-4</c:v>
                </c:pt>
                <c:pt idx="121">
                  <c:v>-3.8455537483211925E-4</c:v>
                </c:pt>
                <c:pt idx="122">
                  <c:v>-3.6915615350330733E-4</c:v>
                </c:pt>
                <c:pt idx="123">
                  <c:v>-3.5265671028382527E-4</c:v>
                </c:pt>
                <c:pt idx="124">
                  <c:v>-3.352159606747859E-4</c:v>
                </c:pt>
                <c:pt idx="125">
                  <c:v>-3.1698830360923279E-4</c:v>
                </c:pt>
                <c:pt idx="126">
                  <c:v>-2.9812303928044616E-4</c:v>
                </c:pt>
                <c:pt idx="127">
                  <c:v>-2.7876385134696001E-4</c:v>
                </c:pt>
                <c:pt idx="128">
                  <c:v>-2.590483524171488E-4</c:v>
                </c:pt>
                <c:pt idx="129">
                  <c:v>-2.391076914293486E-4</c:v>
                </c:pt>
                <c:pt idx="130">
                  <c:v>-2.1906622128295452E-4</c:v>
                </c:pt>
                <c:pt idx="131">
                  <c:v>-1.9904122484141668E-4</c:v>
                </c:pt>
                <c:pt idx="132">
                  <c:v>-1.7914269721910613E-4</c:v>
                </c:pt>
                <c:pt idx="133">
                  <c:v>-1.5947318208004203E-4</c:v>
                </c:pt>
                <c:pt idx="134">
                  <c:v>-1.4012765951685243E-4</c:v>
                </c:pt>
                <c:pt idx="135">
                  <c:v>-1.2119348294235954E-4</c:v>
                </c:pt>
                <c:pt idx="136">
                  <c:v>-1.0275036231304999E-4</c:v>
                </c:pt>
                <c:pt idx="137">
                  <c:v>-8.4870390912542956E-5</c:v>
                </c:pt>
                <c:pt idx="138">
                  <c:v>-6.7618112853147036E-5</c:v>
                </c:pt>
                <c:pt idx="139">
                  <c:v>-5.1050628403664487E-5</c:v>
                </c:pt>
                <c:pt idx="140">
                  <c:v>-3.5217734220845978E-5</c:v>
                </c:pt>
                <c:pt idx="141">
                  <c:v>-2.0162095549201517E-5</c:v>
                </c:pt>
                <c:pt idx="142">
                  <c:v>-5.9194474582316267E-6</c:v>
                </c:pt>
                <c:pt idx="143">
                  <c:v>7.4811777935647464E-6</c:v>
                </c:pt>
                <c:pt idx="144">
                  <c:v>2.0017200143435606E-5</c:v>
                </c:pt>
                <c:pt idx="145">
                  <c:v>3.167222068455527E-5</c:v>
                </c:pt>
                <c:pt idx="146">
                  <c:v>4.2435732966882233E-5</c:v>
                </c:pt>
                <c:pt idx="147">
                  <c:v>5.2302819331017435E-5</c:v>
                </c:pt>
                <c:pt idx="148">
                  <c:v>6.1273834884102425E-5</c:v>
                </c:pt>
                <c:pt idx="149">
                  <c:v>6.9354081634228064E-5</c:v>
                </c:pt>
                <c:pt idx="150">
                  <c:v>7.6553475199082866E-5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36-45C3-B1E8-9E5EB8A47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4452312"/>
        <c:axId val="454454280"/>
      </c:lineChart>
      <c:catAx>
        <c:axId val="454452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54454280"/>
        <c:crosses val="autoZero"/>
        <c:auto val="1"/>
        <c:lblAlgn val="ctr"/>
        <c:lblOffset val="100"/>
        <c:noMultiLvlLbl val="0"/>
      </c:catAx>
      <c:valAx>
        <c:axId val="454454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54452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>
                <a:solidFill>
                  <a:schemeClr val="accent1"/>
                </a:solidFill>
                <a:sym typeface="Symbol" panose="05050102010706020507" pitchFamily="18" charset="2"/>
              </a:rPr>
              <a:t></a:t>
            </a:r>
            <a:r>
              <a:rPr lang="hu-HU" baseline="-25000">
                <a:solidFill>
                  <a:schemeClr val="accent1"/>
                </a:solidFill>
                <a:sym typeface="Symbol" panose="05050102010706020507" pitchFamily="18" charset="2"/>
              </a:rPr>
              <a:t>1</a:t>
            </a:r>
            <a:r>
              <a:rPr lang="hu-HU">
                <a:solidFill>
                  <a:schemeClr val="accent1"/>
                </a:solidFill>
                <a:sym typeface="Symbol" panose="05050102010706020507" pitchFamily="18" charset="2"/>
              </a:rPr>
              <a:t> </a:t>
            </a:r>
            <a:r>
              <a:rPr lang="hu-HU">
                <a:sym typeface="Symbol" panose="05050102010706020507" pitchFamily="18" charset="2"/>
              </a:rPr>
              <a:t>, </a:t>
            </a:r>
            <a:r>
              <a:rPr lang="hu-HU" sz="1400" b="0" i="0" u="none" strike="noStrike" baseline="0">
                <a:solidFill>
                  <a:srgbClr val="FF0000"/>
                </a:solidFill>
                <a:effectLst/>
                <a:sym typeface="Symbol" panose="05050102010706020507" pitchFamily="18" charset="2"/>
              </a:rPr>
              <a:t></a:t>
            </a:r>
            <a:r>
              <a:rPr lang="hu-HU" sz="1400" b="0" i="0" u="none" strike="noStrike" baseline="-25000">
                <a:solidFill>
                  <a:srgbClr val="FF0000"/>
                </a:solidFill>
                <a:effectLst/>
              </a:rPr>
              <a:t>2</a:t>
            </a:r>
            <a:r>
              <a:rPr lang="hu-HU" sz="1400" b="0" i="0" u="none" strike="noStrike" baseline="0">
                <a:solidFill>
                  <a:srgbClr val="FF0000"/>
                </a:solidFill>
                <a:effectLst/>
              </a:rPr>
              <a:t> </a:t>
            </a:r>
            <a:r>
              <a:rPr lang="hu-HU">
                <a:sym typeface="Symbol" panose="05050102010706020507" pitchFamily="18" charset="2"/>
              </a:rPr>
              <a:t>lengésképe</a:t>
            </a:r>
            <a:endParaRPr lang="hu-H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Segéd_modál_1!$S$25:$S$26</c:f>
              <c:numCache>
                <c:formatCode>General</c:formatCode>
                <c:ptCount val="2"/>
                <c:pt idx="0">
                  <c:v>1</c:v>
                </c:pt>
                <c:pt idx="1">
                  <c:v>2</c:v>
                </c:pt>
              </c:numCache>
            </c:numRef>
          </c:xVal>
          <c:yVal>
            <c:numRef>
              <c:f>Segéd_modál_1!$T$25:$T$26</c:f>
              <c:numCache>
                <c:formatCode>General</c:formatCode>
                <c:ptCount val="2"/>
                <c:pt idx="0">
                  <c:v>0.49309084148547505</c:v>
                </c:pt>
                <c:pt idx="1">
                  <c:v>0.23263029300993382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CFE-41AA-A7BA-D7D41C19A86F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Segéd_modál_1!$S$25:$S$26</c:f>
              <c:numCache>
                <c:formatCode>General</c:formatCode>
                <c:ptCount val="2"/>
                <c:pt idx="0">
                  <c:v>1</c:v>
                </c:pt>
                <c:pt idx="1">
                  <c:v>2</c:v>
                </c:pt>
              </c:numCache>
            </c:numRef>
          </c:xVal>
          <c:yVal>
            <c:numRef>
              <c:f>Segéd_modál_1!$U$25:$U$26</c:f>
              <c:numCache>
                <c:formatCode>General</c:formatCode>
                <c:ptCount val="2"/>
                <c:pt idx="0">
                  <c:v>0.30032441688360828</c:v>
                </c:pt>
                <c:pt idx="1">
                  <c:v>-0.38194652344812929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CFE-41AA-A7BA-D7D41C19A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4392240"/>
        <c:axId val="364392568"/>
      </c:scatterChart>
      <c:valAx>
        <c:axId val="364392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64392568"/>
        <c:crosses val="autoZero"/>
        <c:crossBetween val="midCat"/>
        <c:majorUnit val="1"/>
      </c:valAx>
      <c:valAx>
        <c:axId val="364392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643922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'két függvény összegzése'!$C$9</c:f>
              <c:strCache>
                <c:ptCount val="1"/>
                <c:pt idx="0">
                  <c:v>q1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'két függvény összegzése'!$B$10:$B$242</c:f>
              <c:numCache>
                <c:formatCode>General</c:formatCode>
                <c:ptCount val="233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</c:numCache>
            </c:numRef>
          </c:cat>
          <c:val>
            <c:numRef>
              <c:f>'két függvény összegzése'!$C$10:$C$242</c:f>
              <c:numCache>
                <c:formatCode>General</c:formatCode>
                <c:ptCount val="233"/>
                <c:pt idx="0">
                  <c:v>-0.11866921399110342</c:v>
                </c:pt>
                <c:pt idx="1">
                  <c:v>-0.13181144814746582</c:v>
                </c:pt>
                <c:pt idx="2">
                  <c:v>-0.14363666588501051</c:v>
                </c:pt>
                <c:pt idx="3">
                  <c:v>-0.15402671353700137</c:v>
                </c:pt>
                <c:pt idx="4">
                  <c:v>-0.16287777718179278</c:v>
                </c:pt>
                <c:pt idx="5">
                  <c:v>-0.17010141991721855</c:v>
                </c:pt>
                <c:pt idx="6">
                  <c:v>-0.17562546549288524</c:v>
                </c:pt>
                <c:pt idx="7">
                  <c:v>-0.17939471947140748</c:v>
                </c:pt>
                <c:pt idx="8">
                  <c:v>-0.18137152071298152</c:v>
                </c:pt>
                <c:pt idx="9">
                  <c:v>-0.1815361176730452</c:v>
                </c:pt>
                <c:pt idx="10">
                  <c:v>-0.17988686575318205</c:v>
                </c:pt>
                <c:pt idx="11">
                  <c:v>-0.17644024373340519</c:v>
                </c:pt>
                <c:pt idx="12">
                  <c:v>-0.17123068912163447</c:v>
                </c:pt>
                <c:pt idx="13">
                  <c:v>-0.16431025406550087</c:v>
                </c:pt>
                <c:pt idx="14">
                  <c:v>-0.15574808526449355</c:v>
                </c:pt>
                <c:pt idx="15">
                  <c:v>-0.14562973307899557</c:v>
                </c:pt>
                <c:pt idx="16">
                  <c:v>-0.13405629673936176</c:v>
                </c:pt>
                <c:pt idx="17">
                  <c:v>-0.1211434141958284</c:v>
                </c:pt>
                <c:pt idx="18">
                  <c:v>-0.10702010670233905</c:v>
                </c:pt>
                <c:pt idx="19">
                  <c:v>-9.1827489678823773E-2</c:v>
                </c:pt>
                <c:pt idx="20">
                  <c:v>-7.5717362732570098E-2</c:v>
                </c:pt>
                <c:pt idx="21">
                  <c:v>-5.885069292672504E-2</c:v>
                </c:pt>
                <c:pt idx="22">
                  <c:v>-4.139600645060882E-2</c:v>
                </c:pt>
                <c:pt idx="23">
                  <c:v>-2.3527704761738561E-2</c:v>
                </c:pt>
                <c:pt idx="24">
                  <c:v>-5.4243220241142823E-3</c:v>
                </c:pt>
                <c:pt idx="25">
                  <c:v>1.2733258746132563E-2</c:v>
                </c:pt>
                <c:pt idx="26">
                  <c:v>3.0763613004043781E-2</c:v>
                </c:pt>
                <c:pt idx="27">
                  <c:v>4.8486587409917056E-2</c:v>
                </c:pt>
                <c:pt idx="28">
                  <c:v>6.572509986192529E-2</c:v>
                </c:pt>
                <c:pt idx="29">
                  <c:v>8.2306908841942625E-2</c:v>
                </c:pt>
                <c:pt idx="30">
                  <c:v>9.8066334395858101E-2</c:v>
                </c:pt>
                <c:pt idx="31">
                  <c:v>0.11284591355291049</c:v>
                </c:pt>
                <c:pt idx="32">
                  <c:v>0.12649797364364179</c:v>
                </c:pt>
                <c:pt idx="33">
                  <c:v>0.13888610779639654</c:v>
                </c:pt>
                <c:pt idx="34">
                  <c:v>0.14988653786969305</c:v>
                </c:pt>
                <c:pt idx="35">
                  <c:v>0.15938935120249775</c:v>
                </c:pt>
                <c:pt idx="36">
                  <c:v>0.16729959882520165</c:v>
                </c:pt>
                <c:pt idx="37">
                  <c:v>0.17353824415833896</c:v>
                </c:pt>
                <c:pt idx="38">
                  <c:v>0.17804295271996295</c:v>
                </c:pt>
                <c:pt idx="39">
                  <c:v>0.18076871495118452</c:v>
                </c:pt>
                <c:pt idx="40">
                  <c:v>0.18168829593680652</c:v>
                </c:pt>
                <c:pt idx="41">
                  <c:v>0.18079250752759365</c:v>
                </c:pt>
                <c:pt idx="42">
                  <c:v>0.17809030014522245</c:v>
                </c:pt>
                <c:pt idx="43">
                  <c:v>0.1736086733526267</c:v>
                </c:pt>
                <c:pt idx="44">
                  <c:v>0.16739240608328901</c:v>
                </c:pt>
                <c:pt idx="45">
                  <c:v>0.15950360922493997</c:v>
                </c:pt>
                <c:pt idx="46">
                  <c:v>0.15002110502809851</c:v>
                </c:pt>
                <c:pt idx="47">
                  <c:v>0.13903963954020063</c:v>
                </c:pt>
                <c:pt idx="48">
                  <c:v>0.12666893593441111</c:v>
                </c:pt>
                <c:pt idx="49">
                  <c:v>0.11303259819194823</c:v>
                </c:pt>
                <c:pt idx="50">
                  <c:v>9.8266876091960914E-2</c:v>
                </c:pt>
                <c:pt idx="51">
                  <c:v>8.2519303848773262E-2</c:v>
                </c:pt>
                <c:pt idx="52">
                  <c:v>6.594722599878379E-2</c:v>
                </c:pt>
                <c:pt idx="53">
                  <c:v>4.8716225265869113E-2</c:v>
                </c:pt>
                <c:pt idx="54">
                  <c:v>3.0998468113541077E-2</c:v>
                </c:pt>
                <c:pt idx="55">
                  <c:v>1.2970984514553779E-2</c:v>
                </c:pt>
                <c:pt idx="56">
                  <c:v>-5.18610087406568E-3</c:v>
                </c:pt>
                <c:pt idx="57">
                  <c:v>-2.3291368457048191E-2</c:v>
                </c:pt>
                <c:pt idx="58">
                  <c:v>-4.1163916385510986E-2</c:v>
                </c:pt>
                <c:pt idx="59">
                  <c:v>-5.8625168068431266E-2</c:v>
                </c:pt>
                <c:pt idx="60">
                  <c:v>-7.5500656450916012E-2</c:v>
                </c:pt>
                <c:pt idx="61">
                  <c:v>-9.1621767231341938E-2</c:v>
                </c:pt>
                <c:pt idx="62">
                  <c:v>-0.10682742359972203</c:v>
                </c:pt>
                <c:pt idx="63">
                  <c:v>-0.12096569566394491</c:v>
                </c:pt>
                <c:pt idx="64">
                  <c:v>-0.13389531848303651</c:v>
                </c:pt>
                <c:pt idx="65">
                  <c:v>-0.14548710353975328</c:v>
                </c:pt>
                <c:pt idx="66">
                  <c:v>-0.15562522954954347</c:v>
                </c:pt>
                <c:pt idx="67">
                  <c:v>-0.1642083997085359</c:v>
                </c:pt>
                <c:pt idx="68">
                  <c:v>-0.17115085381772094</c:v>
                </c:pt>
                <c:pt idx="69">
                  <c:v>-0.17638322517050964</c:v>
                </c:pt>
                <c:pt idx="70">
                  <c:v>-0.17985323364193723</c:v>
                </c:pt>
                <c:pt idx="71">
                  <c:v>-0.18152620805438929</c:v>
                </c:pt>
                <c:pt idx="72">
                  <c:v>-0.18138543260054849</c:v>
                </c:pt>
                <c:pt idx="73">
                  <c:v>-0.17943231386221539</c:v>
                </c:pt>
                <c:pt idx="74">
                  <c:v>-0.17568636675620822</c:v>
                </c:pt>
                <c:pt idx="75">
                  <c:v>-0.17018501954776477</c:v>
                </c:pt>
                <c:pt idx="76">
                  <c:v>-0.16298323987968813</c:v>
                </c:pt>
                <c:pt idx="77">
                  <c:v>-0.15415298555382986</c:v>
                </c:pt>
                <c:pt idx="78">
                  <c:v>-0.14378248555251988</c:v>
                </c:pt>
                <c:pt idx="79">
                  <c:v>-0.13197535848373995</c:v>
                </c:pt>
                <c:pt idx="80">
                  <c:v>-0.11884957725824391</c:v>
                </c:pt>
                <c:pt idx="81">
                  <c:v>-0.10453629034323023</c:v>
                </c:pt>
                <c:pt idx="82">
                  <c:v>-8.9178511370210878E-2</c:v>
                </c:pt>
                <c:pt idx="83">
                  <c:v>-7.2929690190076737E-2</c:v>
                </c:pt>
                <c:pt idx="84">
                  <c:v>-5.5952179652913464E-2</c:v>
                </c:pt>
                <c:pt idx="85">
                  <c:v>-3.8415613431990181E-2</c:v>
                </c:pt>
                <c:pt idx="86">
                  <c:v>-2.0495211100167929E-2</c:v>
                </c:pt>
                <c:pt idx="87">
                  <c:v>-2.370027393848867E-3</c:v>
                </c:pt>
                <c:pt idx="88">
                  <c:v>1.5778836842762961E-2</c:v>
                </c:pt>
                <c:pt idx="89">
                  <c:v>3.3770044157431581E-2</c:v>
                </c:pt>
                <c:pt idx="90">
                  <c:v>5.1423832353771612E-2</c:v>
                </c:pt>
                <c:pt idx="91">
                  <c:v>6.8563810615691737E-2</c:v>
                </c:pt>
                <c:pt idx="92">
                  <c:v>8.5018721946122644E-2</c:v>
                </c:pt>
                <c:pt idx="93">
                  <c:v>0.10062415431032068</c:v>
                </c:pt>
                <c:pt idx="94">
                  <c:v>0.11522418338657291</c:v>
                </c:pt>
                <c:pt idx="95">
                  <c:v>0.12867293051047807</c:v>
                </c:pt>
                <c:pt idx="96">
                  <c:v>0.14083602024633807</c:v>
                </c:pt>
                <c:pt idx="97">
                  <c:v>0.15159192302209556</c:v>
                </c:pt>
                <c:pt idx="98">
                  <c:v>0.16083316941264389</c:v>
                </c:pt>
                <c:pt idx="99">
                  <c:v>0.16846742393879829</c:v>
                </c:pt>
                <c:pt idx="100">
                  <c:v>0.17441840765288286</c:v>
                </c:pt>
                <c:pt idx="101">
                  <c:v>0.17862666029275978</c:v>
                </c:pt>
                <c:pt idx="102">
                  <c:v>0.18105013438911521</c:v>
                </c:pt>
                <c:pt idx="103">
                  <c:v>0.18166461538987205</c:v>
                </c:pt>
                <c:pt idx="104">
                  <c:v>0.18046396360399114</c:v>
                </c:pt>
                <c:pt idx="105">
                  <c:v>0.17746017554723459</c:v>
                </c:pt>
                <c:pt idx="106">
                  <c:v>0.17268326407694484</c:v>
                </c:pt>
                <c:pt idx="107">
                  <c:v>0.16618095851349618</c:v>
                </c:pt>
                <c:pt idx="108">
                  <c:v>0.15801822774470237</c:v>
                </c:pt>
                <c:pt idx="109">
                  <c:v>0.14827663107816474</c:v>
                </c:pt>
                <c:pt idx="110">
                  <c:v>0.13705350332763197</c:v>
                </c:pt>
                <c:pt idx="111">
                  <c:v>0.1244609822757141</c:v>
                </c:pt>
                <c:pt idx="112">
                  <c:v>0.11062488823022831</c:v>
                </c:pt>
                <c:pt idx="113">
                  <c:v>9.5683466869272704E-2</c:v>
                </c:pt>
                <c:pt idx="114">
                  <c:v>7.9786007936108155E-2</c:v>
                </c:pt>
                <c:pt idx="115">
                  <c:v>6.3091353585393389E-2</c:v>
                </c:pt>
                <c:pt idx="116">
                  <c:v>4.576631128488233E-2</c:v>
                </c:pt>
                <c:pt idx="117">
                  <c:v>2.7983987130343994E-2</c:v>
                </c:pt>
                <c:pt idx="118">
                  <c:v>9.9220562266754755E-3</c:v>
                </c:pt>
                <c:pt idx="119">
                  <c:v>-8.2390125830142102E-3</c:v>
                </c:pt>
                <c:pt idx="120">
                  <c:v>-2.6317759902430217E-2</c:v>
                </c:pt>
                <c:pt idx="121">
                  <c:v>-4.4133548864395633E-2</c:v>
                </c:pt>
                <c:pt idx="122">
                  <c:v>-6.150836999471964E-2</c:v>
                </c:pt>
                <c:pt idx="123">
                  <c:v>-7.8268619824020669E-2</c:v>
                </c:pt>
                <c:pt idx="124">
                  <c:v>-9.4246835476205632E-2</c:v>
                </c:pt>
                <c:pt idx="125">
                  <c:v>-0.10928336790217427</c:v>
                </c:pt>
                <c:pt idx="126">
                  <c:v>-0.12322797704034286</c:v>
                </c:pt>
                <c:pt idx="127">
                  <c:v>-0.13594133296567801</c:v>
                </c:pt>
                <c:pt idx="128">
                  <c:v>-0.1472964080282505</c:v>
                </c:pt>
                <c:pt idx="129">
                  <c:v>-0.15717974607152346</c:v>
                </c:pt>
                <c:pt idx="130">
                  <c:v>-0.16549259604876618</c:v>
                </c:pt>
                <c:pt idx="131">
                  <c:v>-0.17215189871086881</c:v>
                </c:pt>
                <c:pt idx="132">
                  <c:v>-0.17709111650690407</c:v>
                </c:pt>
                <c:pt idx="133">
                  <c:v>-0.18026089840534279</c:v>
                </c:pt>
                <c:pt idx="134">
                  <c:v>-0.181629572993246</c:v>
                </c:pt>
                <c:pt idx="135">
                  <c:v>-0.18118346492655538</c:v>
                </c:pt>
                <c:pt idx="136">
                  <c:v>-0.17892703156960924</c:v>
                </c:pt>
                <c:pt idx="137">
                  <c:v>-0.17488281845863257</c:v>
                </c:pt>
                <c:pt idx="138">
                  <c:v>-0.16909123403419141</c:v>
                </c:pt>
                <c:pt idx="139">
                  <c:v>-0.16161014589341133</c:v>
                </c:pt>
                <c:pt idx="140">
                  <c:v>-0.15251430259607573</c:v>
                </c:pt>
                <c:pt idx="141">
                  <c:v>-0.14189458680172584</c:v>
                </c:pt>
                <c:pt idx="142">
                  <c:v>-0.12985710720016769</c:v>
                </c:pt>
                <c:pt idx="143">
                  <c:v>-0.11652213830851789</c:v>
                </c:pt>
                <c:pt idx="144">
                  <c:v>-0.10202291872798752</c:v>
                </c:pt>
                <c:pt idx="145">
                  <c:v>-8.6504319867819923E-2</c:v>
                </c:pt>
                <c:pt idx="146">
                  <c:v>-7.0121398438059687E-2</c:v>
                </c:pt>
                <c:pt idx="147">
                  <c:v>-5.3037847174159089E-2</c:v>
                </c:pt>
                <c:pt idx="148">
                  <c:v>-3.5424359273275266E-2</c:v>
                </c:pt>
                <c:pt idx="149">
                  <c:v>-1.745692288426947E-2</c:v>
                </c:pt>
                <c:pt idx="150">
                  <c:v>6.8493730770436551E-4</c:v>
                </c:pt>
                <c:pt idx="151">
                  <c:v>1.8819953832509839E-2</c:v>
                </c:pt>
                <c:pt idx="152">
                  <c:v>3.6766927599670492E-2</c:v>
                </c:pt>
                <c:pt idx="153">
                  <c:v>5.4346538379785946E-2</c:v>
                </c:pt>
                <c:pt idx="154">
                  <c:v>7.1383136512987416E-2</c:v>
                </c:pt>
                <c:pt idx="155">
                  <c:v>8.7706497942278916E-2</c:v>
                </c:pt>
                <c:pt idx="156">
                  <c:v>0.10315352503604507</c:v>
                </c:pt>
                <c:pt idx="157">
                  <c:v>0.11756987620567266</c:v>
                </c:pt>
                <c:pt idx="158">
                  <c:v>0.13081150803568733</c:v>
                </c:pt>
                <c:pt idx="159">
                  <c:v>0.14274611451794489</c:v>
                </c:pt>
                <c:pt idx="160">
                  <c:v>0.15325444900953128</c:v>
                </c:pt>
                <c:pt idx="161">
                  <c:v>0.16223151570580011</c:v>
                </c:pt>
                <c:pt idx="162">
                  <c:v>0.16958761872374575</c:v>
                </c:pt>
                <c:pt idx="163">
                  <c:v>0.17524925831361698</c:v>
                </c:pt>
                <c:pt idx="164">
                  <c:v>0.17915986524412181</c:v>
                </c:pt>
                <c:pt idx="165">
                  <c:v>0.18128036602348502</c:v>
                </c:pt>
                <c:pt idx="166">
                  <c:v>0.18158957330886352</c:v>
                </c:pt>
                <c:pt idx="167">
                  <c:v>0.18008439760327219</c:v>
                </c:pt>
                <c:pt idx="168">
                  <c:v>0.17677987812481638</c:v>
                </c:pt>
                <c:pt idx="169">
                  <c:v>0.171709032539796</c:v>
                </c:pt>
                <c:pt idx="170">
                  <c:v>0.16492252706109764</c:v>
                </c:pt>
                <c:pt idx="171">
                  <c:v>0.15648817020814407</c:v>
                </c:pt>
                <c:pt idx="172">
                  <c:v>0.14649023528658273</c:v>
                </c:pt>
                <c:pt idx="173">
                  <c:v>0.13502861835727123</c:v>
                </c:pt>
                <c:pt idx="174">
                  <c:v>0.12221784010786127</c:v>
                </c:pt>
                <c:pt idx="175">
                  <c:v>0.10818590159993974</c:v>
                </c:pt>
                <c:pt idx="176">
                  <c:v>9.307300532473603E-2</c:v>
                </c:pt>
                <c:pt idx="177">
                  <c:v>7.7030154346173274E-2</c:v>
                </c:pt>
                <c:pt idx="178">
                  <c:v>6.0217643528166651E-2</c:v>
                </c:pt>
                <c:pt idx="179">
                  <c:v>4.2803457921333665E-2</c:v>
                </c:pt>
                <c:pt idx="180">
                  <c:v>2.4961594311892148E-2</c:v>
                </c:pt>
                <c:pt idx="181">
                  <c:v>6.870322703292249E-3</c:v>
                </c:pt>
                <c:pt idx="182">
                  <c:v>-1.1289594898731568E-2</c:v>
                </c:pt>
                <c:pt idx="183">
                  <c:v>-2.9336710600371796E-2</c:v>
                </c:pt>
                <c:pt idx="184">
                  <c:v>-4.7090703587120343E-2</c:v>
                </c:pt>
                <c:pt idx="185">
                  <c:v>-6.4374181829742805E-2</c:v>
                </c:pt>
                <c:pt idx="186">
                  <c:v>-8.1014454526798438E-2</c:v>
                </c:pt>
                <c:pt idx="187">
                  <c:v>-9.6845257574040514E-2</c:v>
                </c:pt>
                <c:pt idx="188">
                  <c:v>-0.11170841482038762</c:v>
                </c:pt>
                <c:pt idx="189">
                  <c:v>-0.12545541851174305</c:v>
                </c:pt>
                <c:pt idx="190">
                  <c:v>-0.13794891313137689</c:v>
                </c:pt>
                <c:pt idx="191">
                  <c:v>-0.14906406781084963</c:v>
                </c:pt>
                <c:pt idx="192">
                  <c:v>-0.15868982359878642</c:v>
                </c:pt>
                <c:pt idx="193">
                  <c:v>-0.16673000312520561</c:v>
                </c:pt>
                <c:pt idx="194">
                  <c:v>-0.17310427157400898</c:v>
                </c:pt>
                <c:pt idx="195">
                  <c:v>-0.17774893936190961</c:v>
                </c:pt>
                <c:pt idx="196">
                  <c:v>-0.18061759850369352</c:v>
                </c:pt>
                <c:pt idx="197">
                  <c:v>-0.18168158630546868</c:v>
                </c:pt>
                <c:pt idx="198">
                  <c:v>-0.18093027175282744</c:v>
                </c:pt>
                <c:pt idx="199">
                  <c:v>-0.1783711617324282</c:v>
                </c:pt>
                <c:pt idx="200">
                  <c:v>-0.17402982602566541</c:v>
                </c:pt>
                <c:pt idx="201">
                  <c:v>-0.16794964182386649</c:v>
                </c:pt>
                <c:pt idx="202">
                  <c:v>-0.16019136031773371</c:v>
                </c:pt>
                <c:pt idx="203">
                  <c:v>-0.15083249969153001</c:v>
                </c:pt>
                <c:pt idx="204">
                  <c:v>-0.13996657058700374</c:v>
                </c:pt>
                <c:pt idx="205">
                  <c:v>-0.127702141775969</c:v>
                </c:pt>
                <c:pt idx="206">
                  <c:v>-0.11416175537702453</c:v>
                </c:pt>
                <c:pt idx="207">
                  <c:v>-9.94807024552124E-2</c:v>
                </c:pt>
                <c:pt idx="208">
                  <c:v>-8.3805671238415452E-2</c:v>
                </c:pt>
                <c:pt idx="209">
                  <c:v>-6.7293281457076651E-2</c:v>
                </c:pt>
                <c:pt idx="210">
                  <c:v>-5.0108519451619538E-2</c:v>
                </c:pt>
                <c:pt idx="211">
                  <c:v>-3.2423089683476812E-2</c:v>
                </c:pt>
                <c:pt idx="212">
                  <c:v>-1.4413699120864008E-2</c:v>
                </c:pt>
                <c:pt idx="213">
                  <c:v>3.7397083588270666E-3</c:v>
                </c:pt>
                <c:pt idx="214">
                  <c:v>2.1855749908781912E-2</c:v>
                </c:pt>
                <c:pt idx="215">
                  <c:v>3.9753416030197303E-2</c:v>
                </c:pt>
                <c:pt idx="216">
                  <c:v>5.7253879159371843E-2</c:v>
                </c:pt>
                <c:pt idx="217">
                  <c:v>7.4182280453601576E-2</c:v>
                </c:pt>
                <c:pt idx="218">
                  <c:v>9.03694769229412E-2</c:v>
                </c:pt>
                <c:pt idx="219">
                  <c:v>0.10565373145104374</c:v>
                </c:pt>
                <c:pt idx="220">
                  <c:v>0.11988232881896826</c:v>
                </c:pt>
                <c:pt idx="221">
                  <c:v>0.1329131015851629</c:v>
                </c:pt>
                <c:pt idx="222">
                  <c:v>0.1446158505755486</c:v>
                </c:pt>
                <c:pt idx="223">
                  <c:v>0.1548736457906276</c:v>
                </c:pt>
                <c:pt idx="224">
                  <c:v>0.16358399473138782</c:v>
                </c:pt>
                <c:pt idx="225">
                  <c:v>0.17065986647047116</c:v>
                </c:pt>
                <c:pt idx="226">
                  <c:v>0.17603056123643324</c:v>
                </c:pt>
                <c:pt idx="227">
                  <c:v>0.17964241682248833</c:v>
                </c:pt>
                <c:pt idx="228">
                  <c:v>0.18145934476154096</c:v>
                </c:pt>
                <c:pt idx="229">
                  <c:v>0.18146319091022092</c:v>
                </c:pt>
                <c:pt idx="230">
                  <c:v>0.17965391683908175</c:v>
                </c:pt>
                <c:pt idx="231">
                  <c:v>0.17604960021657579</c:v>
                </c:pt>
                <c:pt idx="232">
                  <c:v>0.17068625418296673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A1-437C-9CB1-A1217A9F8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9576472"/>
        <c:axId val="299576800"/>
      </c:lineChart>
      <c:catAx>
        <c:axId val="299576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9576800"/>
        <c:crosses val="autoZero"/>
        <c:auto val="1"/>
        <c:lblAlgn val="ctr"/>
        <c:lblOffset val="100"/>
        <c:noMultiLvlLbl val="0"/>
      </c:catAx>
      <c:valAx>
        <c:axId val="29957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9576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'két függvény összegzése'!$E$9</c:f>
              <c:strCache>
                <c:ptCount val="1"/>
                <c:pt idx="0">
                  <c:v>q2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'két függvény összegzése'!$D$10:$D$242</c:f>
              <c:numCache>
                <c:formatCode>General</c:formatCode>
                <c:ptCount val="233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</c:numCache>
            </c:numRef>
          </c:cat>
          <c:val>
            <c:numRef>
              <c:f>'két függvény összegzése'!$E$10:$E$242</c:f>
              <c:numCache>
                <c:formatCode>General</c:formatCode>
                <c:ptCount val="233"/>
                <c:pt idx="0">
                  <c:v>1.3363260186723736E-2</c:v>
                </c:pt>
                <c:pt idx="1">
                  <c:v>1.1655265694265747E-2</c:v>
                </c:pt>
                <c:pt idx="2">
                  <c:v>9.830815639709202E-3</c:v>
                </c:pt>
                <c:pt idx="3">
                  <c:v>7.9081393249163454E-3</c:v>
                </c:pt>
                <c:pt idx="4">
                  <c:v>5.9064474960722133E-3</c:v>
                </c:pt>
                <c:pt idx="5">
                  <c:v>3.8457403962592895E-3</c:v>
                </c:pt>
                <c:pt idx="6">
                  <c:v>1.7466079296396958E-3</c:v>
                </c:pt>
                <c:pt idx="7">
                  <c:v>-3.6997606606102226E-4</c:v>
                </c:pt>
                <c:pt idx="8">
                  <c:v>-2.4828633832074641E-3</c:v>
                </c:pt>
                <c:pt idx="9">
                  <c:v>-4.5709427501544539E-3</c:v>
                </c:pt>
                <c:pt idx="10">
                  <c:v>-6.6133507680946751E-3</c:v>
                </c:pt>
                <c:pt idx="11">
                  <c:v>-8.5896803712432121E-3</c:v>
                </c:pt>
                <c:pt idx="12">
                  <c:v>-1.0480184727493128E-2</c:v>
                </c:pt>
                <c:pt idx="13">
                  <c:v>-1.2265974542234359E-2</c:v>
                </c:pt>
                <c:pt idx="14">
                  <c:v>-1.3929206793941776E-2</c:v>
                </c:pt>
                <c:pt idx="15">
                  <c:v>-1.5453263015747669E-2</c:v>
                </c:pt>
                <c:pt idx="16">
                  <c:v>-1.6822915341669839E-2</c:v>
                </c:pt>
                <c:pt idx="17">
                  <c:v>-1.80244786584145E-2</c:v>
                </c:pt>
                <c:pt idx="18">
                  <c:v>-1.9045947342504796E-2</c:v>
                </c:pt>
                <c:pt idx="19">
                  <c:v>-1.9877115216501928E-2</c:v>
                </c:pt>
                <c:pt idx="20">
                  <c:v>-2.0509677525756491E-2</c:v>
                </c:pt>
                <c:pt idx="21">
                  <c:v>-2.0937313916771727E-2</c:v>
                </c:pt>
                <c:pt idx="22">
                  <c:v>-2.1155751588086393E-2</c:v>
                </c:pt>
                <c:pt idx="23">
                  <c:v>-2.1162807982694619E-2</c:v>
                </c:pt>
                <c:pt idx="24">
                  <c:v>-2.0958412595433989E-2</c:v>
                </c:pt>
                <c:pt idx="25">
                  <c:v>-2.0544607677449922E-2</c:v>
                </c:pt>
                <c:pt idx="26">
                  <c:v>-1.9925527830697135E-2</c:v>
                </c:pt>
                <c:pt idx="27">
                  <c:v>-1.9107358696363846E-2</c:v>
                </c:pt>
                <c:pt idx="28">
                  <c:v>-1.8098275149989546E-2</c:v>
                </c:pt>
                <c:pt idx="29">
                  <c:v>-1.69083596208109E-2</c:v>
                </c:pt>
                <c:pt idx="30">
                  <c:v>-1.5549501351461714E-2</c:v>
                </c:pt>
                <c:pt idx="31">
                  <c:v>-1.4035277604590508E-2</c:v>
                </c:pt>
                <c:pt idx="32">
                  <c:v>-1.2380818003340163E-2</c:v>
                </c:pt>
                <c:pt idx="33">
                  <c:v>-1.0602653361154755E-2</c:v>
                </c:pt>
                <c:pt idx="34">
                  <c:v>-8.7185505113559353E-3</c:v>
                </c:pt>
                <c:pt idx="35">
                  <c:v>-6.7473347868172648E-3</c:v>
                </c:pt>
                <c:pt idx="36">
                  <c:v>-4.7087019234610811E-3</c:v>
                </c:pt>
                <c:pt idx="37">
                  <c:v>-2.6230212669755698E-3</c:v>
                </c:pt>
                <c:pt idx="38">
                  <c:v>-5.1113224904600699E-4</c:v>
                </c:pt>
                <c:pt idx="39">
                  <c:v>1.6058638333581836E-3</c:v>
                </c:pt>
                <c:pt idx="40">
                  <c:v>3.7068146551674508E-3</c:v>
                </c:pt>
                <c:pt idx="41">
                  <c:v>5.7707282102523018E-3</c:v>
                </c:pt>
                <c:pt idx="42">
                  <c:v>7.7769825566094599E-3</c:v>
                </c:pt>
                <c:pt idx="43">
                  <c:v>9.7055318639896054E-3</c:v>
                </c:pt>
                <c:pt idx="44">
                  <c:v>1.153710670520707E-2</c:v>
                </c:pt>
                <c:pt idx="45">
                  <c:v>1.3253406589886539E-2</c:v>
                </c:pt>
                <c:pt idx="46">
                  <c:v>1.483728281691362E-2</c:v>
                </c:pt>
                <c:pt idx="47">
                  <c:v>1.6272909818587696E-2</c:v>
                </c:pt>
                <c:pt idx="48">
                  <c:v>1.7545943284463288E-2</c:v>
                </c:pt>
                <c:pt idx="49">
                  <c:v>1.8643663484958252E-2</c:v>
                </c:pt>
                <c:pt idx="50">
                  <c:v>1.9555102362687288E-2</c:v>
                </c:pt>
                <c:pt idx="51">
                  <c:v>2.0271153121665796E-2</c:v>
                </c:pt>
                <c:pt idx="52">
                  <c:v>2.0784661219404948E-2</c:v>
                </c:pt>
                <c:pt idx="53">
                  <c:v>2.1090495852735341E-2</c:v>
                </c:pt>
                <c:pt idx="54">
                  <c:v>2.1185601223096241E-2</c:v>
                </c:pt>
                <c:pt idx="55">
                  <c:v>2.1069027069064661E-2</c:v>
                </c:pt>
                <c:pt idx="56">
                  <c:v>2.074193816105338E-2</c:v>
                </c:pt>
                <c:pt idx="57">
                  <c:v>2.0207602663310037E-2</c:v>
                </c:pt>
                <c:pt idx="58">
                  <c:v>1.9471359479500225E-2</c:v>
                </c:pt>
                <c:pt idx="59">
                  <c:v>1.8540564908146984E-2</c:v>
                </c:pt>
                <c:pt idx="60">
                  <c:v>1.742451914092745E-2</c:v>
                </c:pt>
                <c:pt idx="61">
                  <c:v>1.6134373338232033E-2</c:v>
                </c:pt>
                <c:pt idx="62">
                  <c:v>1.4683018210455721E-2</c:v>
                </c:pt>
                <c:pt idx="63">
                  <c:v>1.3084955218281069E-2</c:v>
                </c:pt>
                <c:pt idx="64">
                  <c:v>1.1356151678876499E-2</c:v>
                </c:pt>
                <c:pt idx="65">
                  <c:v>9.51388122574124E-3</c:v>
                </c:pt>
                <c:pt idx="66">
                  <c:v>7.5765512162693852E-3</c:v>
                </c:pt>
                <c:pt idx="67">
                  <c:v>5.5635188115194384E-3</c:v>
                </c:pt>
                <c:pt idx="68">
                  <c:v>3.4948975658595643E-3</c:v>
                </c:pt>
                <c:pt idx="69">
                  <c:v>1.3913564589812175E-3</c:v>
                </c:pt>
                <c:pt idx="70">
                  <c:v>-7.2608662171401439E-4</c:v>
                </c:pt>
                <c:pt idx="71">
                  <c:v>-2.8362748848973912E-3</c:v>
                </c:pt>
                <c:pt idx="72">
                  <c:v>-4.9181240269786965E-3</c:v>
                </c:pt>
                <c:pt idx="73">
                  <c:v>-6.9508328994981111E-3</c:v>
                </c:pt>
                <c:pt idx="74">
                  <c:v>-8.9140913473256152E-3</c:v>
                </c:pt>
                <c:pt idx="75">
                  <c:v>-1.0788283141017466E-2</c:v>
                </c:pt>
                <c:pt idx="76">
                  <c:v>-1.2554681975696546E-2</c:v>
                </c:pt>
                <c:pt idx="77">
                  <c:v>-1.4195638578100588E-2</c:v>
                </c:pt>
                <c:pt idx="78">
                  <c:v>-1.5694757052286484E-2</c:v>
                </c:pt>
                <c:pt idx="79">
                  <c:v>-1.7037058702002835E-2</c:v>
                </c:pt>
                <c:pt idx="80">
                  <c:v>-1.8209131692871632E-2</c:v>
                </c:pt>
                <c:pt idx="81">
                  <c:v>-1.9199265059003948E-2</c:v>
                </c:pt>
                <c:pt idx="82">
                  <c:v>-1.9997565715099919E-2</c:v>
                </c:pt>
                <c:pt idx="83">
                  <c:v>-2.0596057304886985E-2</c:v>
                </c:pt>
                <c:pt idx="84">
                  <c:v>-2.0988759898235024E-2</c:v>
                </c:pt>
                <c:pt idx="85">
                  <c:v>-2.1171749740641482E-2</c:v>
                </c:pt>
                <c:pt idx="86">
                  <c:v>-2.1143198458089443E-2</c:v>
                </c:pt>
                <c:pt idx="87">
                  <c:v>-2.0903391325556381E-2</c:v>
                </c:pt>
                <c:pt idx="88">
                  <c:v>-2.045472441664084E-2</c:v>
                </c:pt>
                <c:pt idx="89">
                  <c:v>-1.9801680662787174E-2</c:v>
                </c:pt>
                <c:pt idx="90">
                  <c:v>-1.8950785061316311E-2</c:v>
                </c:pt>
                <c:pt idx="91">
                  <c:v>-1.7910539479809473E-2</c:v>
                </c:pt>
                <c:pt idx="92">
                  <c:v>-1.6691337708257536E-2</c:v>
                </c:pt>
                <c:pt idx="93">
                  <c:v>-1.5305361607747467E-2</c:v>
                </c:pt>
                <c:pt idx="94">
                  <c:v>-1.3766459393332681E-2</c:v>
                </c:pt>
                <c:pt idx="95">
                  <c:v>-1.2090007267246114E-2</c:v>
                </c:pt>
                <c:pt idx="96">
                  <c:v>-1.0292755784970249E-2</c:v>
                </c:pt>
                <c:pt idx="97">
                  <c:v>-8.3926624892238233E-3</c:v>
                </c:pt>
                <c:pt idx="98">
                  <c:v>-6.40871248413033E-3</c:v>
                </c:pt>
                <c:pt idx="99">
                  <c:v>-4.3607287423340427E-3</c:v>
                </c:pt>
                <c:pt idx="100">
                  <c:v>-2.2691740404098201E-3</c:v>
                </c:pt>
                <c:pt idx="101">
                  <c:v>-1.5494650156283249E-4</c:v>
                </c:pt>
                <c:pt idx="102">
                  <c:v>1.960829211509061E-3</c:v>
                </c:pt>
                <c:pt idx="103">
                  <c:v>4.0570129672636516E-3</c:v>
                </c:pt>
                <c:pt idx="104">
                  <c:v>6.1126603905196156E-3</c:v>
                </c:pt>
                <c:pt idx="105">
                  <c:v>8.1072321317301587E-3</c:v>
                </c:pt>
                <c:pt idx="106">
                  <c:v>1.0020799089375247E-2</c:v>
                </c:pt>
                <c:pt idx="107">
                  <c:v>1.1834241534955162E-2</c:v>
                </c:pt>
                <c:pt idx="108">
                  <c:v>1.3529440150997728E-2</c:v>
                </c:pt>
                <c:pt idx="109">
                  <c:v>1.5089457073290062E-2</c:v>
                </c:pt>
                <c:pt idx="110">
                  <c:v>1.6498705128417217E-2</c:v>
                </c:pt>
                <c:pt idx="111">
                  <c:v>1.7743103575648192E-2</c:v>
                </c:pt>
                <c:pt idx="112">
                  <c:v>1.881021879704161E-2</c:v>
                </c:pt>
                <c:pt idx="113">
                  <c:v>1.9689388530046523E-2</c:v>
                </c:pt>
                <c:pt idx="114">
                  <c:v>2.0371828401305699E-2</c:v>
                </c:pt>
                <c:pt idx="115">
                  <c:v>2.0850719697210265E-2</c:v>
                </c:pt>
                <c:pt idx="116">
                  <c:v>2.1121277494231948E-2</c:v>
                </c:pt>
                <c:pt idx="117">
                  <c:v>2.1180798468297235E-2</c:v>
                </c:pt>
                <c:pt idx="118">
                  <c:v>2.1028687905508506E-2</c:v>
                </c:pt>
                <c:pt idx="119">
                  <c:v>2.0666465644327905E-2</c:v>
                </c:pt>
                <c:pt idx="120">
                  <c:v>2.0097750889854479E-2</c:v>
                </c:pt>
                <c:pt idx="121">
                  <c:v>1.9328226051922817E-2</c:v>
                </c:pt>
                <c:pt idx="122">
                  <c:v>1.8365579968342427E-2</c:v>
                </c:pt>
                <c:pt idx="123">
                  <c:v>1.7219431080571945E-2</c:v>
                </c:pt>
                <c:pt idx="124">
                  <c:v>1.5901231329431539E-2</c:v>
                </c:pt>
                <c:pt idx="125">
                  <c:v>1.4424151731095736E-2</c:v>
                </c:pt>
                <c:pt idx="126">
                  <c:v>1.2802950776653409E-2</c:v>
                </c:pt>
                <c:pt idx="127">
                  <c:v>1.1053826970143697E-2</c:v>
                </c:pt>
                <c:pt idx="128">
                  <c:v>9.1942569784576392E-3</c:v>
                </c:pt>
                <c:pt idx="129">
                  <c:v>7.2428210102600532E-3</c:v>
                </c:pt>
                <c:pt idx="130">
                  <c:v>5.2190171686864392E-3</c:v>
                </c:pt>
                <c:pt idx="131">
                  <c:v>3.1430666327408943E-3</c:v>
                </c:pt>
                <c:pt idx="132">
                  <c:v>1.035711613960634E-3</c:v>
                </c:pt>
                <c:pt idx="133">
                  <c:v>-1.0819918929053825E-3</c:v>
                </c:pt>
                <c:pt idx="134">
                  <c:v>-3.1888844944366612E-3</c:v>
                </c:pt>
                <c:pt idx="135">
                  <c:v>-5.2639148162043755E-3</c:v>
                </c:pt>
                <c:pt idx="136">
                  <c:v>-7.2863498411476222E-3</c:v>
                </c:pt>
                <c:pt idx="137">
                  <c:v>-9.235982067025238E-3</c:v>
                </c:pt>
                <c:pt idx="138">
                  <c:v>-1.1093331413098749E-2</c:v>
                </c:pt>
                <c:pt idx="139">
                  <c:v>-1.2839839858660331E-2</c:v>
                </c:pt>
                <c:pt idx="140">
                  <c:v>-1.445805686864109E-2</c:v>
                </c:pt>
                <c:pt idx="141">
                  <c:v>-1.593181375358866E-2</c:v>
                </c:pt>
                <c:pt idx="142">
                  <c:v>-1.7246385221867604E-2</c:v>
                </c:pt>
                <c:pt idx="143">
                  <c:v>-1.8388636509906853E-2</c:v>
                </c:pt>
                <c:pt idx="144">
                  <c:v>-1.9347154620414003E-2</c:v>
                </c:pt>
                <c:pt idx="145">
                  <c:v>-2.0112362357273116E-2</c:v>
                </c:pt>
                <c:pt idx="146">
                  <c:v>-2.0676614017721515E-2</c:v>
                </c:pt>
                <c:pt idx="147">
                  <c:v>-2.103427178568458E-2</c:v>
                </c:pt>
                <c:pt idx="148">
                  <c:v>-2.1181762062970989E-2</c:v>
                </c:pt>
                <c:pt idx="149">
                  <c:v>-2.1117611175483872E-2</c:v>
                </c:pt>
                <c:pt idx="150">
                  <c:v>-2.0842460097685381E-2</c:v>
                </c:pt>
                <c:pt idx="151">
                  <c:v>-2.0359058048192227E-2</c:v>
                </c:pt>
                <c:pt idx="152">
                  <c:v>-1.9672235020491313E-2</c:v>
                </c:pt>
                <c:pt idx="153">
                  <c:v>-1.8788853523242E-2</c:v>
                </c:pt>
                <c:pt idx="154">
                  <c:v>-1.7717740012357694E-2</c:v>
                </c:pt>
                <c:pt idx="155">
                  <c:v>-1.6469596699976108E-2</c:v>
                </c:pt>
                <c:pt idx="156">
                  <c:v>-1.5056894621493178E-2</c:v>
                </c:pt>
                <c:pt idx="157">
                  <c:v>-1.3493749029099909E-2</c:v>
                </c:pt>
                <c:pt idx="158">
                  <c:v>-1.1795778356848356E-2</c:v>
                </c:pt>
                <c:pt idx="159">
                  <c:v>-9.9799481664209766E-3</c:v>
                </c:pt>
                <c:pt idx="160">
                  <c:v>-8.0644016328471207E-3</c:v>
                </c:pt>
                <c:pt idx="161">
                  <c:v>-6.0682782638945276E-3</c:v>
                </c:pt>
                <c:pt idx="162">
                  <c:v>-4.0115226644351909E-3</c:v>
                </c:pt>
                <c:pt idx="163">
                  <c:v>-1.9146852565460545E-3</c:v>
                </c:pt>
                <c:pt idx="164">
                  <c:v>2.0128305351583761E-4</c:v>
                </c:pt>
                <c:pt idx="165">
                  <c:v>2.3152402098423272E-3</c:v>
                </c:pt>
                <c:pt idx="166">
                  <c:v>4.4060642513086678E-3</c:v>
                </c:pt>
                <c:pt idx="167">
                  <c:v>6.4528643552272009E-3</c:v>
                </c:pt>
                <c:pt idx="168">
                  <c:v>8.4351895715416656E-3</c:v>
                </c:pt>
                <c:pt idx="169">
                  <c:v>1.0333233161960177E-2</c:v>
                </c:pt>
                <c:pt idx="170">
                  <c:v>1.2128030502337203E-2</c:v>
                </c:pt>
                <c:pt idx="171">
                  <c:v>1.3801648570928745E-2</c:v>
                </c:pt>
                <c:pt idx="172">
                  <c:v>1.5337365129217972E-2</c:v>
                </c:pt>
                <c:pt idx="173">
                  <c:v>1.6719835804994958E-2</c:v>
                </c:pt>
                <c:pt idx="174">
                  <c:v>1.7935247408251302E-2</c:v>
                </c:pt>
                <c:pt idx="175">
                  <c:v>1.8971455948009003E-2</c:v>
                </c:pt>
                <c:pt idx="176">
                  <c:v>1.9818107971063759E-2</c:v>
                </c:pt>
                <c:pt idx="177">
                  <c:v>2.0466744010267143E-2</c:v>
                </c:pt>
                <c:pt idx="178">
                  <c:v>2.091088310872604E-2</c:v>
                </c:pt>
                <c:pt idx="179">
                  <c:v>2.1146087575381507E-2</c:v>
                </c:pt>
                <c:pt idx="180">
                  <c:v>2.1170007324950967E-2</c:v>
                </c:pt>
                <c:pt idx="181">
                  <c:v>2.0982403359203566E-2</c:v>
                </c:pt>
                <c:pt idx="182">
                  <c:v>2.0585150154951395E-2</c:v>
                </c:pt>
                <c:pt idx="183">
                  <c:v>1.9982216934896893E-2</c:v>
                </c:pt>
                <c:pt idx="184">
                  <c:v>1.917962800847163E-2</c:v>
                </c:pt>
                <c:pt idx="185">
                  <c:v>1.8185402578927867E-2</c:v>
                </c:pt>
                <c:pt idx="186">
                  <c:v>1.7009474618110282E-2</c:v>
                </c:pt>
                <c:pt idx="187">
                  <c:v>1.5663593609493306E-2</c:v>
                </c:pt>
                <c:pt idx="188">
                  <c:v>1.4161207151226027E-2</c:v>
                </c:pt>
                <c:pt idx="189">
                  <c:v>1.2517326592176324E-2</c:v>
                </c:pt>
                <c:pt idx="190">
                  <c:v>1.0748377043495634E-2</c:v>
                </c:pt>
                <c:pt idx="191">
                  <c:v>8.8720332643374838E-3</c:v>
                </c:pt>
                <c:pt idx="192">
                  <c:v>6.9070430615062947E-3</c:v>
                </c:pt>
                <c:pt idx="193">
                  <c:v>4.8730399675694092E-3</c:v>
                </c:pt>
                <c:pt idx="194">
                  <c:v>2.7903470690894966E-3</c:v>
                </c:pt>
                <c:pt idx="195">
                  <c:v>6.7977394506127733E-4</c:v>
                </c:pt>
                <c:pt idx="196">
                  <c:v>-1.4375912555225981E-3</c:v>
                </c:pt>
                <c:pt idx="197">
                  <c:v>-3.540592519485717E-3</c:v>
                </c:pt>
                <c:pt idx="198">
                  <c:v>-5.6082173533584861E-3</c:v>
                </c:pt>
                <c:pt idx="199">
                  <c:v>-7.6198067332666104E-3</c:v>
                </c:pt>
                <c:pt idx="200">
                  <c:v>-9.5552615230692309E-3</c:v>
                </c:pt>
                <c:pt idx="201">
                  <c:v>-1.1395243298282801E-2</c:v>
                </c:pt>
                <c:pt idx="202">
                  <c:v>-1.3121367569226623E-2</c:v>
                </c:pt>
                <c:pt idx="203">
                  <c:v>-1.4716387472766129E-2</c:v>
                </c:pt>
                <c:pt idx="204">
                  <c:v>-1.6164366097268741E-2</c:v>
                </c:pt>
                <c:pt idx="205">
                  <c:v>-1.7450835718956483E-2</c:v>
                </c:pt>
                <c:pt idx="206">
                  <c:v>-1.8562942358619758E-2</c:v>
                </c:pt>
                <c:pt idx="207">
                  <c:v>-1.9489574214328592E-2</c:v>
                </c:pt>
                <c:pt idx="208">
                  <c:v>-2.0221472686884588E-2</c:v>
                </c:pt>
                <c:pt idx="209">
                  <c:v>-2.0751324888683378E-2</c:v>
                </c:pt>
                <c:pt idx="210">
                  <c:v>-2.1073836711670464E-2</c:v>
                </c:pt>
                <c:pt idx="211">
                  <c:v>-2.1185785724318812E-2</c:v>
                </c:pt>
                <c:pt idx="212">
                  <c:v>-2.1086053369099439E-2</c:v>
                </c:pt>
                <c:pt idx="213">
                  <c:v>-2.0775636138738576E-2</c:v>
                </c:pt>
                <c:pt idx="214">
                  <c:v>-2.0257635619591652E-2</c:v>
                </c:pt>
                <c:pt idx="215">
                  <c:v>-1.9537227501617849E-2</c:v>
                </c:pt>
                <c:pt idx="216">
                  <c:v>-1.8621609864596628E-2</c:v>
                </c:pt>
                <c:pt idx="217">
                  <c:v>-1.751993125729423E-2</c:v>
                </c:pt>
                <c:pt idx="218">
                  <c:v>-1.6243199288188209E-2</c:v>
                </c:pt>
                <c:pt idx="219">
                  <c:v>-1.4804170641082477E-2</c:v>
                </c:pt>
                <c:pt idx="220">
                  <c:v>-1.3217223614539197E-2</c:v>
                </c:pt>
                <c:pt idx="221">
                  <c:v>-1.1498214458672683E-2</c:v>
                </c:pt>
                <c:pt idx="222">
                  <c:v>-9.6643189447394792E-3</c:v>
                </c:pt>
                <c:pt idx="223">
                  <c:v>-7.7338607505096149E-3</c:v>
                </c:pt>
                <c:pt idx="224">
                  <c:v>-5.7261283761350645E-3</c:v>
                </c:pt>
                <c:pt idx="225">
                  <c:v>-3.6611824198326329E-3</c:v>
                </c:pt>
                <c:pt idx="226">
                  <c:v>-1.5596551390172353E-3</c:v>
                </c:pt>
                <c:pt idx="227">
                  <c:v>5.5745570039384545E-4</c:v>
                </c:pt>
                <c:pt idx="228">
                  <c:v>2.6689966267168796E-3</c:v>
                </c:pt>
                <c:pt idx="229">
                  <c:v>4.7538698209988149E-3</c:v>
                </c:pt>
                <c:pt idx="230">
                  <c:v>6.7912439194497661E-3</c:v>
                </c:pt>
                <c:pt idx="231">
                  <c:v>8.7607621535443492E-3</c:v>
                </c:pt>
                <c:pt idx="232">
                  <c:v>1.0642745748123596E-2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F7-4242-87A7-52B3F5C0B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915848"/>
        <c:axId val="418914208"/>
      </c:lineChart>
      <c:catAx>
        <c:axId val="418915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18914208"/>
        <c:crosses val="autoZero"/>
        <c:auto val="1"/>
        <c:lblAlgn val="ctr"/>
        <c:lblOffset val="100"/>
        <c:noMultiLvlLbl val="0"/>
      </c:catAx>
      <c:valAx>
        <c:axId val="418914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18915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'két függvény_2'!$C$9</c:f>
              <c:strCache>
                <c:ptCount val="1"/>
                <c:pt idx="0">
                  <c:v>q1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'két függvény_2'!$B$10:$B$242</c:f>
              <c:numCache>
                <c:formatCode>General</c:formatCode>
                <c:ptCount val="233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</c:numCache>
            </c:numRef>
          </c:cat>
          <c:val>
            <c:numRef>
              <c:f>'két függvény_2'!$C$10:$C$242</c:f>
              <c:numCache>
                <c:formatCode>General</c:formatCode>
                <c:ptCount val="233"/>
                <c:pt idx="0">
                  <c:v>0.16827</c:v>
                </c:pt>
                <c:pt idx="1">
                  <c:v>0.1664936383474292</c:v>
                </c:pt>
                <c:pt idx="2">
                  <c:v>0.16120280069506931</c:v>
                </c:pt>
                <c:pt idx="3">
                  <c:v>0.15251140106579247</c:v>
                </c:pt>
                <c:pt idx="4">
                  <c:v>0.1406065544661777</c:v>
                </c:pt>
                <c:pt idx="5">
                  <c:v>0.12574452676015141</c:v>
                </c:pt>
                <c:pt idx="6">
                  <c:v>0.10824518794150791</c:v>
                </c:pt>
                <c:pt idx="7">
                  <c:v>8.8485089036368522E-2</c:v>
                </c:pt>
                <c:pt idx="8">
                  <c:v>6.6889312699130607E-2</c:v>
                </c:pt>
                <c:pt idx="9">
                  <c:v>4.3922274143916876E-2</c:v>
                </c:pt>
                <c:pt idx="10">
                  <c:v>2.0077671801642025E-2</c:v>
                </c:pt>
                <c:pt idx="11">
                  <c:v>-4.1321944826866602E-3</c:v>
                </c:pt>
                <c:pt idx="12">
                  <c:v>-2.818750619641746E-2</c:v>
                </c:pt>
                <c:pt idx="13">
                  <c:v>-5.1572169652189005E-2</c:v>
                </c:pt>
                <c:pt idx="14">
                  <c:v>-7.3784976557200635E-2</c:v>
                </c:pt>
                <c:pt idx="15">
                  <c:v>-9.4350439799368732E-2</c:v>
                </c:pt>
                <c:pt idx="16">
                  <c:v>-0.11282906964587473</c:v>
                </c:pt>
                <c:pt idx="17">
                  <c:v>-0.12882686769575183</c:v>
                </c:pt>
                <c:pt idx="18">
                  <c:v>-0.14200383290200641</c:v>
                </c:pt>
                <c:pt idx="19">
                  <c:v>-0.15208129541215448</c:v>
                </c:pt>
                <c:pt idx="20">
                  <c:v>-0.15884791940409732</c:v>
                </c:pt>
                <c:pt idx="21">
                  <c:v>-0.16216424496545515</c:v>
                </c:pt>
                <c:pt idx="22">
                  <c:v>-0.16196567075265111</c:v>
                </c:pt>
                <c:pt idx="23">
                  <c:v>-0.15826381298393241</c:v>
                </c:pt>
                <c:pt idx="24">
                  <c:v>-0.15114621153469784</c:v>
                </c:pt>
                <c:pt idx="25">
                  <c:v>-0.14077438975025192</c:v>
                </c:pt>
                <c:pt idx="26">
                  <c:v>-0.12738031029301064</c:v>
                </c:pt>
                <c:pt idx="27">
                  <c:v>-0.11126130412396404</c:v>
                </c:pt>
                <c:pt idx="28">
                  <c:v>-9.2773582827526832E-2</c:v>
                </c:pt>
                <c:pt idx="29">
                  <c:v>-7.2324475206749742E-2</c:v>
                </c:pt>
                <c:pt idx="30">
                  <c:v>-5.0363556736060286E-2</c:v>
                </c:pt>
                <c:pt idx="31">
                  <c:v>-2.7372864461418275E-2</c:v>
                </c:pt>
                <c:pt idx="32">
                  <c:v>-3.8564097624918382E-3</c:v>
                </c:pt>
                <c:pt idx="33">
                  <c:v>1.9670783391697429E-2</c:v>
                </c:pt>
                <c:pt idx="34">
                  <c:v>4.2693876783211508E-2</c:v>
                </c:pt>
                <c:pt idx="35">
                  <c:v>6.4709409852957575E-2</c:v>
                </c:pt>
                <c:pt idx="36">
                  <c:v>8.5236242300332818E-2</c:v>
                </c:pt>
                <c:pt idx="37">
                  <c:v>0.10382600992084322</c:v>
                </c:pt>
                <c:pt idx="38">
                  <c:v>0.12007286679988163</c:v>
                </c:pt>
                <c:pt idx="39">
                  <c:v>0.13362230247412199</c:v>
                </c:pt>
                <c:pt idx="40">
                  <c:v>0.14417884275034626</c:v>
                </c:pt>
                <c:pt idx="41">
                  <c:v>0.1515124670994174</c:v>
                </c:pt>
                <c:pt idx="42">
                  <c:v>0.15546360339500451</c:v>
                </c:pt>
                <c:pt idx="43">
                  <c:v>0.15594659163841956</c:v>
                </c:pt>
                <c:pt idx="44">
                  <c:v>0.15295154153290558</c:v>
                </c:pt>
                <c:pt idx="45">
                  <c:v>0.14654454362231639</c:v>
                </c:pt>
                <c:pt idx="46">
                  <c:v>0.13686622943440621</c:v>
                </c:pt>
                <c:pt idx="47">
                  <c:v>0.12412871189300034</c:v>
                </c:pt>
                <c:pt idx="48">
                  <c:v>0.10861097240911839</c:v>
                </c:pt>
                <c:pt idx="49">
                  <c:v>9.0652794766336198E-2</c:v>
                </c:pt>
                <c:pt idx="50">
                  <c:v>7.0647377449220186E-2</c:v>
                </c:pt>
                <c:pt idx="51">
                  <c:v>4.90327847415747E-2</c:v>
                </c:pt>
                <c:pt idx="52">
                  <c:v>2.6282422121451921E-2</c:v>
                </c:pt>
                <c:pt idx="53">
                  <c:v>2.8947426557729044E-3</c:v>
                </c:pt>
                <c:pt idx="54">
                  <c:v>-2.0617592210347271E-2</c:v>
                </c:pt>
                <c:pt idx="55">
                  <c:v>-4.37388622279812E-2</c:v>
                </c:pt>
                <c:pt idx="56">
                  <c:v>-6.5961506297140371E-2</c:v>
                </c:pt>
                <c:pt idx="57">
                  <c:v>-8.6797165317887504E-2</c:v>
                </c:pt>
                <c:pt idx="58">
                  <c:v>-0.10578731024668594</c:v>
                </c:pt>
                <c:pt idx="59">
                  <c:v>-0.12251322465124409</c:v>
                </c:pt>
                <c:pt idx="60">
                  <c:v>-0.13660512504814198</c:v>
                </c:pt>
                <c:pt idx="61">
                  <c:v>-0.14775022099983823</c:v>
                </c:pt>
                <c:pt idx="62">
                  <c:v>-0.15569953993587626</c:v>
                </c:pt>
                <c:pt idx="63">
                  <c:v>-0.16027336844874804</c:v>
                </c:pt>
                <c:pt idx="64">
                  <c:v>-0.16136519181700756</c:v>
                </c:pt>
                <c:pt idx="65">
                  <c:v>-0.15894404607623674</c:v>
                </c:pt>
                <c:pt idx="66">
                  <c:v>-0.15305523138601776</c:v>
                </c:pt>
                <c:pt idx="67">
                  <c:v>-0.14381937098153336</c:v>
                </c:pt>
                <c:pt idx="68">
                  <c:v>-0.13142983588099991</c:v>
                </c:pt>
                <c:pt idx="69">
                  <c:v>-0.11614859096662603</c:v>
                </c:pt>
                <c:pt idx="70">
                  <c:v>-9.8300552298410906E-2</c:v>
                </c:pt>
                <c:pt idx="71">
                  <c:v>-7.8266577814223165E-2</c:v>
                </c:pt>
                <c:pt idx="72">
                  <c:v>-5.6475243215782303E-2</c:v>
                </c:pt>
                <c:pt idx="73">
                  <c:v>-3.3393581195462436E-2</c:v>
                </c:pt>
                <c:pt idx="74">
                  <c:v>-9.5169846515519747E-3</c:v>
                </c:pt>
                <c:pt idx="75">
                  <c:v>1.4641507318064521E-2</c:v>
                </c:pt>
                <c:pt idx="76">
                  <c:v>3.8562308455480317E-2</c:v>
                </c:pt>
                <c:pt idx="77">
                  <c:v>6.1730528863473327E-2</c:v>
                </c:pt>
                <c:pt idx="78">
                  <c:v>8.3647119307513992E-2</c:v>
                </c:pt>
                <c:pt idx="79">
                  <c:v>0.10383967473590194</c:v>
                </c:pt>
                <c:pt idx="80">
                  <c:v>0.12187266282970638</c:v>
                </c:pt>
                <c:pt idx="81">
                  <c:v>0.13735685584730012</c:v>
                </c:pt>
                <c:pt idx="82">
                  <c:v>0.14995776128974439</c:v>
                </c:pt>
                <c:pt idx="83">
                  <c:v>0.15940286860878158</c:v>
                </c:pt>
                <c:pt idx="84">
                  <c:v>0.16548755483835689</c:v>
                </c:pt>
                <c:pt idx="85">
                  <c:v>0.16807952109700067</c:v>
                </c:pt>
                <c:pt idx="86">
                  <c:v>0.16712166375181445</c:v>
                </c:pt>
                <c:pt idx="87">
                  <c:v>0.16263331796469774</c:v>
                </c:pt>
                <c:pt idx="88">
                  <c:v>0.15470984662210102</c:v>
                </c:pt>
                <c:pt idx="89">
                  <c:v>0.14352058351593233</c:v>
                </c:pt>
                <c:pt idx="90">
                  <c:v>0.1293051753175492</c:v>
                </c:pt>
                <c:pt idx="91">
                  <c:v>0.1123684015954394</c:v>
                </c:pt>
                <c:pt idx="92">
                  <c:v>9.3073585117607105E-2</c:v>
                </c:pt>
                <c:pt idx="93">
                  <c:v>7.183473523642786E-2</c:v>
                </c:pt>
                <c:pt idx="94">
                  <c:v>4.9107594614252195E-2</c:v>
                </c:pt>
                <c:pt idx="95">
                  <c:v>2.5379783316813363E-2</c:v>
                </c:pt>
                <c:pt idx="96">
                  <c:v>1.1602538631971279E-3</c:v>
                </c:pt>
                <c:pt idx="97">
                  <c:v>-2.3031714248485245E-2</c:v>
                </c:pt>
                <c:pt idx="98">
                  <c:v>-4.6677742045142731E-2</c:v>
                </c:pt>
                <c:pt idx="99">
                  <c:v>-6.9271557313774823E-2</c:v>
                </c:pt>
                <c:pt idx="100">
                  <c:v>-9.0329936740108252E-2</c:v>
                </c:pt>
                <c:pt idx="101">
                  <c:v>-0.10940314685973471</c:v>
                </c:pt>
                <c:pt idx="102">
                  <c:v>-0.12608465760770307</c:v>
                </c:pt>
                <c:pt idx="103">
                  <c:v>-0.1400199180342874</c:v>
                </c:pt>
                <c:pt idx="104">
                  <c:v>-0.15091400409882555</c:v>
                </c:pt>
                <c:pt idx="105">
                  <c:v>-0.15853797291887345</c:v>
                </c:pt>
                <c:pt idx="106">
                  <c:v>-0.1627337859078489</c:v>
                </c:pt>
                <c:pt idx="107">
                  <c:v>-0.16341769427234357</c:v>
                </c:pt>
                <c:pt idx="108">
                  <c:v>-0.1605820136872525</c:v>
                </c:pt>
                <c:pt idx="109">
                  <c:v>-0.15429524989957424</c:v>
                </c:pt>
                <c:pt idx="110">
                  <c:v>-0.14470057277259993</c:v>
                </c:pt>
                <c:pt idx="111">
                  <c:v>-0.13201267209568104</c:v>
                </c:pt>
                <c:pt idx="112">
                  <c:v>-0.11651306357417343</c:v>
                </c:pt>
                <c:pt idx="113">
                  <c:v>-9.8543947018528602E-2</c:v>
                </c:pt>
                <c:pt idx="114">
                  <c:v>-7.8500750142103282E-2</c:v>
                </c:pt>
                <c:pt idx="115">
                  <c:v>-5.6823519873329793E-2</c:v>
                </c:pt>
                <c:pt idx="116">
                  <c:v>-3.3987348071501174E-2</c:v>
                </c:pt>
                <c:pt idx="117">
                  <c:v>-1.0492039464801484E-2</c:v>
                </c:pt>
                <c:pt idx="118">
                  <c:v>1.31487539494777E-2</c:v>
                </c:pt>
                <c:pt idx="119">
                  <c:v>3.6418696245441549E-2</c:v>
                </c:pt>
                <c:pt idx="120">
                  <c:v>5.8809986410237061E-2</c:v>
                </c:pt>
                <c:pt idx="121">
                  <c:v>7.9834389259124117E-2</c:v>
                </c:pt>
                <c:pt idx="122">
                  <c:v>9.9033839088150735E-2</c:v>
                </c:pt>
                <c:pt idx="123">
                  <c:v>0.11599038601164788</c:v>
                </c:pt>
                <c:pt idx="124">
                  <c:v>0.13033526920458452</c:v>
                </c:pt>
                <c:pt idx="125">
                  <c:v>0.14175692022273792</c:v>
                </c:pt>
                <c:pt idx="126">
                  <c:v>0.15000772279554903</c:v>
                </c:pt>
                <c:pt idx="127">
                  <c:v>0.15490938247366107</c:v>
                </c:pt>
                <c:pt idx="128">
                  <c:v>0.15635678968015454</c:v>
                </c:pt>
                <c:pt idx="129">
                  <c:v>0.15432029240699552</c:v>
                </c:pt>
                <c:pt idx="130">
                  <c:v>0.14884632930711778</c:v>
                </c:pt>
                <c:pt idx="131">
                  <c:v>0.14005640950932211</c:v>
                </c:pt>
                <c:pt idx="132">
                  <c:v>0.12814446135614632</c:v>
                </c:pt>
                <c:pt idx="133">
                  <c:v>0.11337260765593569</c:v>
                </c:pt>
                <c:pt idx="134">
                  <c:v>9.6065459181873383E-2</c:v>
                </c:pt>
                <c:pt idx="135">
                  <c:v>7.6603050302196801E-2</c:v>
                </c:pt>
                <c:pt idx="136">
                  <c:v>5.5412570089844931E-2</c:v>
                </c:pt>
                <c:pt idx="137">
                  <c:v>3.2959068397242483E-2</c:v>
                </c:pt>
                <c:pt idx="138">
                  <c:v>9.7353386259453126E-3</c:v>
                </c:pt>
                <c:pt idx="139">
                  <c:v>-1.3748803211114999E-2</c:v>
                </c:pt>
                <c:pt idx="140">
                  <c:v>-3.6977610432543245E-2</c:v>
                </c:pt>
                <c:pt idx="141">
                  <c:v>-5.9440627877691381E-2</c:v>
                </c:pt>
                <c:pt idx="142">
                  <c:v>-8.0643800749225641E-2</c:v>
                </c:pt>
                <c:pt idx="143">
                  <c:v>-0.10012022896622093</c:v>
                </c:pt>
                <c:pt idx="144">
                  <c:v>-0.11744033356605797</c:v>
                </c:pt>
                <c:pt idx="145">
                  <c:v>-0.13222121443903731</c:v>
                </c:pt>
                <c:pt idx="146">
                  <c:v>-0.1441349962133297</c:v>
                </c:pt>
                <c:pt idx="147">
                  <c:v>-0.15291598104948895</c:v>
                </c:pt>
                <c:pt idx="148">
                  <c:v>-0.15836645297736401</c:v>
                </c:pt>
                <c:pt idx="149">
                  <c:v>-0.16036100765278283</c:v>
                </c:pt>
                <c:pt idx="150">
                  <c:v>-0.15884931339255759</c:v>
                </c:pt>
                <c:pt idx="151">
                  <c:v>-0.1538572433706232</c:v>
                </c:pt>
                <c:pt idx="152">
                  <c:v>-0.14548635418752595</c:v>
                </c:pt>
                <c:pt idx="153">
                  <c:v>-0.13391172189381023</c:v>
                </c:pt>
                <c:pt idx="154">
                  <c:v>-0.1193781821771811</c:v>
                </c:pt>
                <c:pt idx="155">
                  <c:v>-0.10219505604090896</c:v>
                </c:pt>
                <c:pt idx="156">
                  <c:v>-8.2729475155957632E-2</c:v>
                </c:pt>
                <c:pt idx="157">
                  <c:v>-6.1398451449193869E-2</c:v>
                </c:pt>
                <c:pt idx="158">
                  <c:v>-3.8659862735820401E-2</c:v>
                </c:pt>
                <c:pt idx="159">
                  <c:v>-1.5002549724944341E-2</c:v>
                </c:pt>
                <c:pt idx="160">
                  <c:v>9.0642609872777086E-3</c:v>
                </c:pt>
                <c:pt idx="161">
                  <c:v>3.3021978690454909E-2</c:v>
                </c:pt>
                <c:pt idx="162">
                  <c:v>5.6353876191241693E-2</c:v>
                </c:pt>
                <c:pt idx="163">
                  <c:v>7.855627991508958E-2</c:v>
                </c:pt>
                <c:pt idx="164">
                  <c:v>9.9149479887852499E-2</c:v>
                </c:pt>
                <c:pt idx="165">
                  <c:v>0.11768812306457614</c:v>
                </c:pt>
                <c:pt idx="166">
                  <c:v>0.133770864660164</c:v>
                </c:pt>
                <c:pt idx="167">
                  <c:v>0.14704906821073369</c:v>
                </c:pt>
                <c:pt idx="168">
                  <c:v>0.15723436570697671</c:v>
                </c:pt>
                <c:pt idx="169">
                  <c:v>0.16410491384467793</c:v>
                </c:pt>
                <c:pt idx="170">
                  <c:v>0.16751021069716004</c:v>
                </c:pt>
                <c:pt idx="171">
                  <c:v>0.16737436831696564</c:v>
                </c:pt>
                <c:pt idx="172">
                  <c:v>0.16369777024301202</c:v>
                </c:pt>
                <c:pt idx="173">
                  <c:v>0.1565570778989705</c:v>
                </c:pt>
                <c:pt idx="174">
                  <c:v>0.14610358565959336</c:v>
                </c:pt>
                <c:pt idx="175">
                  <c:v>0.13255996015800187</c:v>
                </c:pt>
                <c:pt idx="176">
                  <c:v>0.11621543443233995</c:v>
                </c:pt>
                <c:pt idx="177">
                  <c:v>9.7419561005157779E-2</c:v>
                </c:pt>
                <c:pt idx="178">
                  <c:v>7.6574659227111375E-2</c:v>
                </c:pt>
                <c:pt idx="179">
                  <c:v>5.4127120520612512E-2</c:v>
                </c:pt>
                <c:pt idx="180">
                  <c:v>3.0557759915236495E-2</c:v>
                </c:pt>
                <c:pt idx="181">
                  <c:v>6.371422938106875E-3</c:v>
                </c:pt>
                <c:pt idx="182">
                  <c:v>-1.7913926939054851E-2</c:v>
                </c:pt>
                <c:pt idx="183">
                  <c:v>-4.1778403839005121E-2</c:v>
                </c:pt>
                <c:pt idx="184">
                  <c:v>-6.471143541837035E-2</c:v>
                </c:pt>
                <c:pt idx="185">
                  <c:v>-8.622279575278477E-2</c:v>
                </c:pt>
                <c:pt idx="186">
                  <c:v>-0.10585319612307828</c:v>
                </c:pt>
                <c:pt idx="187">
                  <c:v>-0.1231842042506055</c:v>
                </c:pt>
                <c:pt idx="188">
                  <c:v>-0.13784727709750294</c:v>
                </c:pt>
                <c:pt idx="189">
                  <c:v>-0.14953171157425357</c:v>
                </c:pt>
                <c:pt idx="190">
                  <c:v>-0.15799134096547915</c:v>
                </c:pt>
                <c:pt idx="191">
                  <c:v>-0.16304983208636797</c:v>
                </c:pt>
                <c:pt idx="192">
                  <c:v>-0.16460446852666055</c:v>
                </c:pt>
                <c:pt idx="193">
                  <c:v>-0.16262833816858052</c:v>
                </c:pt>
                <c:pt idx="194">
                  <c:v>-0.15717087776753963</c:v>
                </c:pt>
                <c:pt idx="195">
                  <c:v>-0.14835676300944942</c:v>
                </c:pt>
                <c:pt idx="196">
                  <c:v>-0.13638316833346331</c:v>
                </c:pt>
                <c:pt idx="197">
                  <c:v>-0.12151545615596171</c:v>
                </c:pt>
                <c:pt idx="198">
                  <c:v>-0.10408138918402093</c:v>
                </c:pt>
                <c:pt idx="199">
                  <c:v>-8.4463991526055299E-2</c:v>
                </c:pt>
                <c:pt idx="200">
                  <c:v>-6.3093213599394585E-2</c:v>
                </c:pt>
                <c:pt idx="201">
                  <c:v>-4.043658176409784E-2</c:v>
                </c:pt>
                <c:pt idx="202">
                  <c:v>-1.6989035616979571E-2</c:v>
                </c:pt>
                <c:pt idx="203">
                  <c:v>6.7378265174211725E-3</c:v>
                </c:pt>
                <c:pt idx="204">
                  <c:v>3.0226860543155026E-2</c:v>
                </c:pt>
                <c:pt idx="205">
                  <c:v>5.2966606883137139E-2</c:v>
                </c:pt>
                <c:pt idx="206">
                  <c:v>7.4462394462315729E-2</c:v>
                </c:pt>
                <c:pt idx="207">
                  <c:v>9.4247077499259535E-2</c:v>
                </c:pt>
                <c:pt idx="208">
                  <c:v>0.11189117220294978</c:v>
                </c:pt>
                <c:pt idx="209">
                  <c:v>0.1270121735040807</c:v>
                </c:pt>
                <c:pt idx="210">
                  <c:v>0.13928284975139946</c:v>
                </c:pt>
                <c:pt idx="211">
                  <c:v>0.14843833548720436</c:v>
                </c:pt>
                <c:pt idx="212">
                  <c:v>0.15428186850102815</c:v>
                </c:pt>
                <c:pt idx="213">
                  <c:v>0.15668904678079046</c:v>
                </c:pt>
                <c:pt idx="214">
                  <c:v>0.15561051309827381</c:v>
                </c:pt>
                <c:pt idx="215">
                  <c:v>0.15107300908392371</c:v>
                </c:pt>
                <c:pt idx="216">
                  <c:v>0.1431787760247212</c:v>
                </c:pt>
                <c:pt idx="217">
                  <c:v>0.13210331549081428</c:v>
                </c:pt>
                <c:pt idx="218">
                  <c:v>0.11809155848366237</c:v>
                </c:pt>
                <c:pt idx="219">
                  <c:v>0.10145252632879319</c:v>
                </c:pt>
                <c:pt idx="220">
                  <c:v>8.255259926086729E-2</c:v>
                </c:pt>
                <c:pt idx="221">
                  <c:v>6.1807538857883898E-2</c:v>
                </c:pt>
                <c:pt idx="222">
                  <c:v>3.967343751969387E-2</c:v>
                </c:pt>
                <c:pt idx="223">
                  <c:v>1.6636791467196266E-2</c:v>
                </c:pt>
                <c:pt idx="224">
                  <c:v>-6.7960872424947302E-3</c:v>
                </c:pt>
                <c:pt idx="225">
                  <c:v>-3.011008984527426E-2</c:v>
                </c:pt>
                <c:pt idx="226">
                  <c:v>-5.2792521945729406E-2</c:v>
                </c:pt>
                <c:pt idx="227">
                  <c:v>-7.4344263171706698E-2</c:v>
                </c:pt>
                <c:pt idx="228">
                  <c:v>-9.4290633150047112E-2</c:v>
                </c:pt>
                <c:pt idx="229">
                  <c:v>-0.11219172791084472</c:v>
                </c:pt>
                <c:pt idx="230">
                  <c:v>-0.12765200230991045</c:v>
                </c:pt>
                <c:pt idx="231">
                  <c:v>-0.14032889040979785</c:v>
                </c:pt>
                <c:pt idx="232">
                  <c:v>-0.14994027662399048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F6-4F39-8D7E-5AFC2A5B3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4252472"/>
        <c:axId val="414253128"/>
      </c:lineChart>
      <c:catAx>
        <c:axId val="414252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14253128"/>
        <c:crosses val="autoZero"/>
        <c:auto val="1"/>
        <c:lblAlgn val="ctr"/>
        <c:lblOffset val="100"/>
        <c:noMultiLvlLbl val="0"/>
      </c:catAx>
      <c:valAx>
        <c:axId val="414253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14252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'két függvény_2'!$E$9</c:f>
              <c:strCache>
                <c:ptCount val="1"/>
                <c:pt idx="0">
                  <c:v>q2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'két függvény_2'!$D$10:$D$242</c:f>
              <c:numCache>
                <c:formatCode>General</c:formatCode>
                <c:ptCount val="233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</c:numCache>
            </c:numRef>
          </c:cat>
          <c:val>
            <c:numRef>
              <c:f>'két függvény_2'!$E$10:$E$242</c:f>
              <c:numCache>
                <c:formatCode>General</c:formatCode>
                <c:ptCount val="233"/>
                <c:pt idx="0">
                  <c:v>-1.2660000000000001E-2</c:v>
                </c:pt>
                <c:pt idx="1">
                  <c:v>-1.2502149952327856E-2</c:v>
                </c:pt>
                <c:pt idx="2">
                  <c:v>-1.2032141296985798E-2</c:v>
                </c:pt>
                <c:pt idx="3">
                  <c:v>-1.1260521012792638E-2</c:v>
                </c:pt>
                <c:pt idx="4">
                  <c:v>-1.0204610801429167E-2</c:v>
                </c:pt>
                <c:pt idx="5">
                  <c:v>-8.888128051518434E-3</c:v>
                </c:pt>
                <c:pt idx="6">
                  <c:v>-7.3406667747586271E-3</c:v>
                </c:pt>
                <c:pt idx="7">
                  <c:v>-5.5970497982387769E-3</c:v>
                </c:pt>
                <c:pt idx="8">
                  <c:v>-3.696566296628818E-3</c:v>
                </c:pt>
                <c:pt idx="9">
                  <c:v>-1.682111241859924E-3</c:v>
                </c:pt>
                <c:pt idx="10">
                  <c:v>4.0075451792973699E-4</c:v>
                </c:pt>
                <c:pt idx="11">
                  <c:v>2.5048031103395976E-3</c:v>
                </c:pt>
                <c:pt idx="12">
                  <c:v>4.5821756972343163E-3</c:v>
                </c:pt>
                <c:pt idx="13">
                  <c:v>6.5854332025833051E-3</c:v>
                </c:pt>
                <c:pt idx="14">
                  <c:v>8.4685988485429485E-3</c:v>
                </c:pt>
                <c:pt idx="15">
                  <c:v>1.0188169811134065E-2</c:v>
                </c:pt>
                <c:pt idx="16">
                  <c:v>1.1704075971799932E-2</c:v>
                </c:pt>
                <c:pt idx="17">
                  <c:v>1.2980564884180668E-2</c:v>
                </c:pt>
                <c:pt idx="18">
                  <c:v>1.3986993671842729E-2</c:v>
                </c:pt>
                <c:pt idx="19">
                  <c:v>1.4698510587857637E-2</c:v>
                </c:pt>
                <c:pt idx="20">
                  <c:v>1.5096611357347101E-2</c:v>
                </c:pt>
                <c:pt idx="21">
                  <c:v>1.5169558137580389E-2</c:v>
                </c:pt>
                <c:pt idx="22">
                  <c:v>1.491265190808802E-2</c:v>
                </c:pt>
                <c:pt idx="23">
                  <c:v>1.4328352280970503E-2</c:v>
                </c:pt>
                <c:pt idx="24">
                  <c:v>1.3426242030221225E-2</c:v>
                </c:pt>
                <c:pt idx="25">
                  <c:v>1.2222837006694848E-2</c:v>
                </c:pt>
                <c:pt idx="26">
                  <c:v>1.0741245459296968E-2</c:v>
                </c:pt>
                <c:pt idx="27">
                  <c:v>9.0106840503040263E-3</c:v>
                </c:pt>
                <c:pt idx="28">
                  <c:v>7.0658609625771571E-3</c:v>
                </c:pt>
                <c:pt idx="29">
                  <c:v>4.946239381353662E-3</c:v>
                </c:pt>
                <c:pt idx="30">
                  <c:v>2.6951972307044476E-3</c:v>
                </c:pt>
                <c:pt idx="31">
                  <c:v>3.591012982866171E-4</c:v>
                </c:pt>
                <c:pt idx="32">
                  <c:v>-2.013684257196962E-3</c:v>
                </c:pt>
                <c:pt idx="33">
                  <c:v>-4.3738335937732594E-3</c:v>
                </c:pt>
                <c:pt idx="34">
                  <c:v>-6.6721166836316292E-3</c:v>
                </c:pt>
                <c:pt idx="35">
                  <c:v>-8.8604557561650713E-3</c:v>
                </c:pt>
                <c:pt idx="36">
                  <c:v>-1.0892957839560824E-2</c:v>
                </c:pt>
                <c:pt idx="37">
                  <c:v>-1.2726901065993525E-2</c:v>
                </c:pt>
                <c:pt idx="38">
                  <c:v>-1.4323653401641046E-2</c:v>
                </c:pt>
                <c:pt idx="39">
                  <c:v>-1.5649503921396055E-2</c:v>
                </c:pt>
                <c:pt idx="40">
                  <c:v>-1.6676388637692226E-2</c:v>
                </c:pt>
                <c:pt idx="41">
                  <c:v>-1.7382495172362969E-2</c:v>
                </c:pt>
                <c:pt idx="42">
                  <c:v>-1.7752733180509229E-2</c:v>
                </c:pt>
                <c:pt idx="43">
                  <c:v>-1.7779060339191306E-2</c:v>
                </c:pt>
                <c:pt idx="44">
                  <c:v>-1.7460656838445998E-2</c:v>
                </c:pt>
                <c:pt idx="45">
                  <c:v>-1.6803944589941184E-2</c:v>
                </c:pt>
                <c:pt idx="46">
                  <c:v>-1.5822450728474317E-2</c:v>
                </c:pt>
                <c:pt idx="47">
                  <c:v>-1.4536518350674779E-2</c:v>
                </c:pt>
                <c:pt idx="48">
                  <c:v>-1.2972870740659668E-2</c:v>
                </c:pt>
                <c:pt idx="49">
                  <c:v>-1.1164038502376954E-2</c:v>
                </c:pt>
                <c:pt idx="50">
                  <c:v>-9.1476619842419567E-3</c:v>
                </c:pt>
                <c:pt idx="51">
                  <c:v>-6.9656840791547043E-3</c:v>
                </c:pt>
                <c:pt idx="52">
                  <c:v>-4.6634508536143142E-3</c:v>
                </c:pt>
                <c:pt idx="53">
                  <c:v>-2.2887394520499111E-3</c:v>
                </c:pt>
                <c:pt idx="54">
                  <c:v>1.0926570650755547E-4</c:v>
                </c:pt>
                <c:pt idx="55">
                  <c:v>2.4810263067169399E-3</c:v>
                </c:pt>
                <c:pt idx="56">
                  <c:v>4.7777103215091337E-3</c:v>
                </c:pt>
                <c:pt idx="57">
                  <c:v>6.9522360916655741E-3</c:v>
                </c:pt>
                <c:pt idx="58">
                  <c:v>8.9602777428970104E-3</c:v>
                </c:pt>
                <c:pt idx="59">
                  <c:v>1.0761210225446351E-2</c:v>
                </c:pt>
                <c:pt idx="60">
                  <c:v>1.2318973574184607E-2</c:v>
                </c:pt>
                <c:pt idx="61">
                  <c:v>1.3602837742046122E-2</c:v>
                </c:pt>
                <c:pt idx="62">
                  <c:v>1.4588051518380604E-2</c:v>
                </c:pt>
                <c:pt idx="63">
                  <c:v>1.5256361559556586E-2</c:v>
                </c:pt>
                <c:pt idx="64">
                  <c:v>1.5596390377359314E-2</c:v>
                </c:pt>
                <c:pt idx="65">
                  <c:v>1.5603865190261933E-2</c:v>
                </c:pt>
                <c:pt idx="66">
                  <c:v>1.5281692777152224E-2</c:v>
                </c:pt>
                <c:pt idx="67">
                  <c:v>1.4639878812420784E-2</c:v>
                </c:pt>
                <c:pt idx="68">
                  <c:v>1.369529353304135E-2</c:v>
                </c:pt>
                <c:pt idx="69">
                  <c:v>1.2471288919281957E-2</c:v>
                </c:pt>
                <c:pt idx="70">
                  <c:v>1.0997175788745059E-2</c:v>
                </c:pt>
                <c:pt idx="71">
                  <c:v>9.3075722387683975E-3</c:v>
                </c:pt>
                <c:pt idx="72">
                  <c:v>7.4416376590102119E-3</c:v>
                </c:pt>
                <c:pt idx="73">
                  <c:v>5.4422090138783498E-3</c:v>
                </c:pt>
                <c:pt idx="74">
                  <c:v>3.354858209620927E-3</c:v>
                </c:pt>
                <c:pt idx="75">
                  <c:v>1.2268910675354212E-3</c:v>
                </c:pt>
                <c:pt idx="76">
                  <c:v>-8.9369031411774E-4</c:v>
                </c:pt>
                <c:pt idx="77">
                  <c:v>-2.9592392386058311E-3</c:v>
                </c:pt>
                <c:pt idx="78">
                  <c:v>-4.9235072603164322E-3</c:v>
                </c:pt>
                <c:pt idx="79">
                  <c:v>-6.7426555340628896E-3</c:v>
                </c:pt>
                <c:pt idx="80">
                  <c:v>-8.3762126826285432E-3</c:v>
                </c:pt>
                <c:pt idx="81">
                  <c:v>-9.7879583679845086E-3</c:v>
                </c:pt>
                <c:pt idx="82">
                  <c:v>-1.0946713370177261E-2</c:v>
                </c:pt>
                <c:pt idx="83">
                  <c:v>-1.1827019012946301E-2</c:v>
                </c:pt>
                <c:pt idx="84">
                  <c:v>-1.2409691182525585E-2</c:v>
                </c:pt>
                <c:pt idx="85">
                  <c:v>-1.2682236913547664E-2</c:v>
                </c:pt>
                <c:pt idx="86">
                  <c:v>-1.2639124504312644E-2</c:v>
                </c:pt>
                <c:pt idx="87">
                  <c:v>-1.2281901308049865E-2</c:v>
                </c:pt>
                <c:pt idx="88">
                  <c:v>-1.1619156658083957E-2</c:v>
                </c:pt>
                <c:pt idx="89">
                  <c:v>-1.0666330751159664E-2</c:v>
                </c:pt>
                <c:pt idx="90">
                  <c:v>-9.44537366153138E-3</c:v>
                </c:pt>
                <c:pt idx="91">
                  <c:v>-7.9842619161212391E-3</c:v>
                </c:pt>
                <c:pt idx="92">
                  <c:v>-6.3163831574023603E-3</c:v>
                </c:pt>
                <c:pt idx="93">
                  <c:v>-4.4798022884749988E-3</c:v>
                </c:pt>
                <c:pt idx="94">
                  <c:v>-2.5164250718413762E-3</c:v>
                </c:pt>
                <c:pt idx="95">
                  <c:v>-4.710773837168095E-4</c:v>
                </c:pt>
                <c:pt idx="96">
                  <c:v>1.6094798390595252E-3</c:v>
                </c:pt>
                <c:pt idx="97">
                  <c:v>3.6775785221756945E-3</c:v>
                </c:pt>
                <c:pt idx="98">
                  <c:v>5.6856918747877263E-3</c:v>
                </c:pt>
                <c:pt idx="99">
                  <c:v>7.5874804867012537E-3</c:v>
                </c:pt>
                <c:pt idx="100">
                  <c:v>9.3388133263884055E-3</c:v>
                </c:pt>
                <c:pt idx="101">
                  <c:v>1.0898741405027883E-2</c:v>
                </c:pt>
                <c:pt idx="102">
                  <c:v>1.2230402895091327E-2</c:v>
                </c:pt>
                <c:pt idx="103">
                  <c:v>1.3301839975906015E-2</c:v>
                </c:pt>
                <c:pt idx="104">
                  <c:v>1.4086709590932478E-2</c:v>
                </c:pt>
                <c:pt idx="105">
                  <c:v>1.4564872600745602E-2</c:v>
                </c:pt>
                <c:pt idx="106">
                  <c:v>1.4722848452044504E-2</c:v>
                </c:pt>
                <c:pt idx="107">
                  <c:v>1.4554125399267525E-2</c:v>
                </c:pt>
                <c:pt idx="108">
                  <c:v>1.4059319448312549E-2</c:v>
                </c:pt>
                <c:pt idx="109">
                  <c:v>1.3246178473511273E-2</c:v>
                </c:pt>
                <c:pt idx="110">
                  <c:v>1.212943131820462E-2</c:v>
                </c:pt>
                <c:pt idx="111">
                  <c:v>1.0730485053154945E-2</c:v>
                </c:pt>
                <c:pt idx="112">
                  <c:v>9.0769768626422463E-3</c:v>
                </c:pt>
                <c:pt idx="113">
                  <c:v>7.2021901839399213E-3</c:v>
                </c:pt>
                <c:pt idx="114">
                  <c:v>5.1443476734894886E-3</c:v>
                </c:pt>
                <c:pt idx="115">
                  <c:v>2.9457962485461846E-3</c:v>
                </c:pt>
                <c:pt idx="116">
                  <c:v>6.5210179830036937E-4</c:v>
                </c:pt>
                <c:pt idx="117">
                  <c:v>-1.6889268773936841E-3</c:v>
                </c:pt>
                <c:pt idx="118">
                  <c:v>-4.0282638031575611E-3</c:v>
                </c:pt>
                <c:pt idx="119">
                  <c:v>-6.3167190553546351E-3</c:v>
                </c:pt>
                <c:pt idx="120">
                  <c:v>-8.5059966972176951E-3</c:v>
                </c:pt>
                <c:pt idx="121">
                  <c:v>-1.0549734528854925E-2</c:v>
                </c:pt>
                <c:pt idx="122">
                  <c:v>-1.2404503146631732E-2</c:v>
                </c:pt>
                <c:pt idx="123">
                  <c:v>-1.4030742681737346E-2</c:v>
                </c:pt>
                <c:pt idx="124">
                  <c:v>-1.5393616931952023E-2</c:v>
                </c:pt>
                <c:pt idx="125">
                  <c:v>-1.6463766384616715E-2</c:v>
                </c:pt>
                <c:pt idx="126">
                  <c:v>-1.7217943813931127E-2</c:v>
                </c:pt>
                <c:pt idx="127">
                  <c:v>-1.7639518674616494E-2</c:v>
                </c:pt>
                <c:pt idx="128">
                  <c:v>-1.771883935166382E-2</c:v>
                </c:pt>
                <c:pt idx="129">
                  <c:v>-1.745344540084515E-2</c:v>
                </c:pt>
                <c:pt idx="130">
                  <c:v>-1.6848125160254166E-2</c:v>
                </c:pt>
                <c:pt idx="131">
                  <c:v>-1.5914817459016697E-2</c:v>
                </c:pt>
                <c:pt idx="132">
                  <c:v>-1.4672359522953694E-2</c:v>
                </c:pt>
                <c:pt idx="133">
                  <c:v>-1.3146086505265506E-2</c:v>
                </c:pt>
                <c:pt idx="134">
                  <c:v>-1.1367291281096054E-2</c:v>
                </c:pt>
                <c:pt idx="135">
                  <c:v>-9.3725561685371155E-3</c:v>
                </c:pt>
                <c:pt idx="136">
                  <c:v>-7.2029710097086339E-3</c:v>
                </c:pt>
                <c:pt idx="137">
                  <c:v>-4.9032545039386956E-3</c:v>
                </c:pt>
                <c:pt idx="138">
                  <c:v>-2.5207977774899322E-3</c:v>
                </c:pt>
                <c:pt idx="139">
                  <c:v>-1.0465085538659442E-4</c:v>
                </c:pt>
                <c:pt idx="140">
                  <c:v>2.2955260657334794E-3</c:v>
                </c:pt>
                <c:pt idx="141">
                  <c:v>4.6305238859151079E-3</c:v>
                </c:pt>
                <c:pt idx="142">
                  <c:v>6.8526354854877534E-3</c:v>
                </c:pt>
                <c:pt idx="143">
                  <c:v>8.9166735268054326E-3</c:v>
                </c:pt>
                <c:pt idx="144">
                  <c:v>1.0780933197332266E-2</c:v>
                </c:pt>
                <c:pt idx="145">
                  <c:v>1.2408079113725292E-2</c:v>
                </c:pt>
                <c:pt idx="146">
                  <c:v>1.3765937253110413E-2</c:v>
                </c:pt>
                <c:pt idx="147">
                  <c:v>1.4828174838678463E-2</c:v>
                </c:pt>
                <c:pt idx="148">
                  <c:v>1.5574853537338349E-2</c:v>
                </c:pt>
                <c:pt idx="149">
                  <c:v>1.5992844074739179E-2</c:v>
                </c:pt>
                <c:pt idx="150">
                  <c:v>1.6076093377922089E-2</c:v>
                </c:pt>
                <c:pt idx="151">
                  <c:v>1.5825738553021093E-2</c:v>
                </c:pt>
                <c:pt idx="152">
                  <c:v>1.5250065325467979E-2</c:v>
                </c:pt>
                <c:pt idx="153">
                  <c:v>1.436431194107541E-2</c:v>
                </c:pt>
                <c:pt idx="154">
                  <c:v>1.3190322875082389E-2</c:v>
                </c:pt>
                <c:pt idx="155">
                  <c:v>1.1756059950138537E-2</c:v>
                </c:pt>
                <c:pt idx="156">
                  <c:v>1.0094981552727112E-2</c:v>
                </c:pt>
                <c:pt idx="157">
                  <c:v>8.2453034937252784E-3</c:v>
                </c:pt>
                <c:pt idx="158">
                  <c:v>6.2491576207510963E-3</c:v>
                </c:pt>
                <c:pt idx="159">
                  <c:v>4.1516665021207304E-3</c:v>
                </c:pt>
                <c:pt idx="160">
                  <c:v>1.9999543166847361E-3</c:v>
                </c:pt>
                <c:pt idx="161">
                  <c:v>-1.5788453878160273E-4</c:v>
                </c:pt>
                <c:pt idx="162">
                  <c:v>-2.2738367024363387E-3</c:v>
                </c:pt>
                <c:pt idx="163">
                  <c:v>-4.3010181143441429E-3</c:v>
                </c:pt>
                <c:pt idx="164">
                  <c:v>-6.1946965232450085E-3</c:v>
                </c:pt>
                <c:pt idx="165">
                  <c:v>-7.9132660247537359E-3</c:v>
                </c:pt>
                <c:pt idx="166">
                  <c:v>-9.4191524704180917E-3</c:v>
                </c:pt>
                <c:pt idx="167">
                  <c:v>-1.0679630093914171E-2</c:v>
                </c:pt>
                <c:pt idx="168">
                  <c:v>-1.1667531633854497E-2</c:v>
                </c:pt>
                <c:pt idx="169">
                  <c:v>-1.2361836550247382E-2</c:v>
                </c:pt>
                <c:pt idx="170">
                  <c:v>-1.2748124583275466E-2</c:v>
                </c:pt>
                <c:pt idx="171">
                  <c:v>-1.2818884831201131E-2</c:v>
                </c:pt>
                <c:pt idx="172">
                  <c:v>-1.2573673665310559E-2</c:v>
                </c:pt>
                <c:pt idx="173">
                  <c:v>-1.2019118085708103E-2</c:v>
                </c:pt>
                <c:pt idx="174">
                  <c:v>-1.1168764481163898E-2</c:v>
                </c:pt>
                <c:pt idx="175">
                  <c:v>-1.0042776116199661E-2</c:v>
                </c:pt>
                <c:pt idx="176">
                  <c:v>-8.6674859562607069E-3</c:v>
                </c:pt>
                <c:pt idx="177">
                  <c:v>-7.0748145858246488E-3</c:v>
                </c:pt>
                <c:pt idx="178">
                  <c:v>-5.3015659064168039E-3</c:v>
                </c:pt>
                <c:pt idx="179">
                  <c:v>-3.3886159581095515E-3</c:v>
                </c:pt>
                <c:pt idx="180">
                  <c:v>-1.3800125315328539E-3</c:v>
                </c:pt>
                <c:pt idx="181">
                  <c:v>6.7799482271049133E-4</c:v>
                </c:pt>
                <c:pt idx="182">
                  <c:v>2.7379732661444401E-3</c:v>
                </c:pt>
                <c:pt idx="183">
                  <c:v>4.7523514493170559E-3</c:v>
                </c:pt>
                <c:pt idx="184">
                  <c:v>6.6744678426046691E-3</c:v>
                </c:pt>
                <c:pt idx="185">
                  <c:v>8.4595997897980984E-3</c:v>
                </c:pt>
                <c:pt idx="186">
                  <c:v>1.0065950868811756E-2</c:v>
                </c:pt>
                <c:pt idx="187">
                  <c:v>1.1455575046020131E-2</c:v>
                </c:pt>
                <c:pt idx="188">
                  <c:v>1.2595217480041639E-2</c:v>
                </c:pt>
                <c:pt idx="189">
                  <c:v>1.345705363756191E-2</c:v>
                </c:pt>
                <c:pt idx="190">
                  <c:v>1.4019310588843573E-2</c:v>
                </c:pt>
                <c:pt idx="191">
                  <c:v>1.4266756906082647E-2</c:v>
                </c:pt>
                <c:pt idx="192">
                  <c:v>1.4191050438321567E-2</c:v>
                </c:pt>
                <c:pt idx="193">
                  <c:v>1.3790936320388036E-2</c:v>
                </c:pt>
                <c:pt idx="194">
                  <c:v>1.3072290823410902E-2</c:v>
                </c:pt>
                <c:pt idx="195">
                  <c:v>1.204801000036998E-2</c:v>
                </c:pt>
                <c:pt idx="196">
                  <c:v>1.0737745449288797E-2</c:v>
                </c:pt>
                <c:pt idx="197">
                  <c:v>9.1674928359902087E-3</c:v>
                </c:pt>
                <c:pt idx="198">
                  <c:v>7.3690420157957754E-3</c:v>
                </c:pt>
                <c:pt idx="199">
                  <c:v>5.3793005997933635E-3</c:v>
                </c:pt>
                <c:pt idx="200">
                  <c:v>3.239505561097119E-3</c:v>
                </c:pt>
                <c:pt idx="201">
                  <c:v>9.9433991021655047E-4</c:v>
                </c:pt>
                <c:pt idx="202">
                  <c:v>-1.3090264665798646E-3</c:v>
                </c:pt>
                <c:pt idx="203">
                  <c:v>-3.6219510609828949E-3</c:v>
                </c:pt>
                <c:pt idx="204">
                  <c:v>-5.8953661420644904E-3</c:v>
                </c:pt>
                <c:pt idx="205">
                  <c:v>-8.0808366292367852E-3</c:v>
                </c:pt>
                <c:pt idx="206">
                  <c:v>-1.0131605532254265E-2</c:v>
                </c:pt>
                <c:pt idx="207">
                  <c:v>-1.2003604314004403E-2</c:v>
                </c:pt>
                <c:pt idx="208">
                  <c:v>-1.3656406285013311E-2</c:v>
                </c:pt>
                <c:pt idx="209">
                  <c:v>-1.5054102366404658E-2</c:v>
                </c:pt>
                <c:pt idx="210">
                  <c:v>-1.6166080233926829E-2</c:v>
                </c:pt>
                <c:pt idx="211">
                  <c:v>-1.6967689943287227E-2</c:v>
                </c:pt>
                <c:pt idx="212">
                  <c:v>-1.7440781591189031E-2</c:v>
                </c:pt>
                <c:pt idx="213">
                  <c:v>-1.7574103333961012E-2</c:v>
                </c:pt>
                <c:pt idx="214">
                  <c:v>-1.7363551106540372E-2</c:v>
                </c:pt>
                <c:pt idx="215">
                  <c:v>-1.6812264593333057E-2</c:v>
                </c:pt>
                <c:pt idx="216">
                  <c:v>-1.593056732959424E-2</c:v>
                </c:pt>
                <c:pt idx="217">
                  <c:v>-1.4735752185325178E-2</c:v>
                </c:pt>
                <c:pt idx="218">
                  <c:v>-1.3251716830153335E-2</c:v>
                </c:pt>
                <c:pt idx="219">
                  <c:v>-1.1508457024715838E-2</c:v>
                </c:pt>
                <c:pt idx="220">
                  <c:v>-9.5414286613127522E-3</c:v>
                </c:pt>
                <c:pt idx="221">
                  <c:v>-7.3907923173426194E-3</c:v>
                </c:pt>
                <c:pt idx="222">
                  <c:v>-5.1005566276916556E-3</c:v>
                </c:pt>
                <c:pt idx="223">
                  <c:v>-2.7176389717212283E-3</c:v>
                </c:pt>
                <c:pt idx="224">
                  <c:v>-2.9086375931010886E-4</c:v>
                </c:pt>
                <c:pt idx="225">
                  <c:v>2.1300800501843509E-3</c:v>
                </c:pt>
                <c:pt idx="226">
                  <c:v>4.495699681455391E-3</c:v>
                </c:pt>
                <c:pt idx="227">
                  <c:v>6.757754621672378E-3</c:v>
                </c:pt>
                <c:pt idx="228">
                  <c:v>8.8702852394713684E-3</c:v>
                </c:pt>
                <c:pt idx="229">
                  <c:v>1.0790591737432728E-2</c:v>
                </c:pt>
                <c:pt idx="230">
                  <c:v>1.2480142309252752E-2</c:v>
                </c:pt>
                <c:pt idx="231">
                  <c:v>1.3905390908753545E-2</c:v>
                </c:pt>
                <c:pt idx="232">
                  <c:v>1.5038486998130146E-2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F4-4E0C-86D4-A0ED72AEF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7443456"/>
        <c:axId val="287443784"/>
      </c:lineChart>
      <c:catAx>
        <c:axId val="28744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87443784"/>
        <c:crosses val="autoZero"/>
        <c:auto val="1"/>
        <c:lblAlgn val="ctr"/>
        <c:lblOffset val="100"/>
        <c:noMultiLvlLbl val="0"/>
      </c:catAx>
      <c:valAx>
        <c:axId val="287443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87443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sz="1800" b="0" i="0" baseline="0">
                <a:solidFill>
                  <a:schemeClr val="accent1"/>
                </a:solidFill>
                <a:effectLst/>
                <a:sym typeface="Symbol" panose="05050102010706020507" pitchFamily="18" charset="2"/>
              </a:rPr>
              <a:t></a:t>
            </a:r>
            <a:r>
              <a:rPr lang="hu-HU" sz="1800" b="0" i="0" baseline="-25000">
                <a:solidFill>
                  <a:schemeClr val="accent1"/>
                </a:solidFill>
                <a:effectLst/>
              </a:rPr>
              <a:t>1</a:t>
            </a:r>
            <a:r>
              <a:rPr lang="hu-HU" sz="1800" b="0" i="0" baseline="0">
                <a:solidFill>
                  <a:schemeClr val="accent1"/>
                </a:solidFill>
                <a:effectLst/>
              </a:rPr>
              <a:t> </a:t>
            </a:r>
            <a:r>
              <a:rPr lang="hu-HU" sz="1800" b="0" i="0" baseline="0">
                <a:effectLst/>
              </a:rPr>
              <a:t>, </a:t>
            </a:r>
            <a:r>
              <a:rPr lang="hu-HU" sz="1800" b="0" i="0" baseline="0">
                <a:solidFill>
                  <a:srgbClr val="FF0000"/>
                </a:solidFill>
                <a:effectLst/>
                <a:sym typeface="Symbol" panose="05050102010706020507" pitchFamily="18" charset="2"/>
              </a:rPr>
              <a:t></a:t>
            </a:r>
            <a:r>
              <a:rPr lang="hu-HU" sz="1800" b="0" i="0" baseline="-25000">
                <a:solidFill>
                  <a:srgbClr val="FF0000"/>
                </a:solidFill>
                <a:effectLst/>
              </a:rPr>
              <a:t>2</a:t>
            </a:r>
            <a:r>
              <a:rPr lang="hu-HU" sz="1800" b="0" i="0" baseline="0">
                <a:solidFill>
                  <a:srgbClr val="FF0000"/>
                </a:solidFill>
                <a:effectLst/>
              </a:rPr>
              <a:t> </a:t>
            </a:r>
            <a:r>
              <a:rPr lang="hu-HU" sz="1800" b="0" i="0" baseline="0">
                <a:effectLst/>
              </a:rPr>
              <a:t>lengésképe</a:t>
            </a:r>
            <a:endParaRPr lang="hu-HU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'Láncszerű lengőrendszerek'!$N$16:$N$18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xVal>
          <c:yVal>
            <c:numRef>
              <c:f>'Láncszerű lengőrendszerek'!$O$16:$O$18</c:f>
              <c:numCache>
                <c:formatCode>0.00</c:formatCode>
                <c:ptCount val="3"/>
                <c:pt idx="0">
                  <c:v>1</c:v>
                </c:pt>
                <c:pt idx="1">
                  <c:v>0.65794944505860808</c:v>
                </c:pt>
                <c:pt idx="2">
                  <c:v>-0.92635955604688658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B25-42D5-80A3-09BBF66B84A1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'Láncszerű lengőrendszerek'!$N$16:$N$18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xVal>
          <c:yVal>
            <c:numRef>
              <c:f>'Láncszerű lengőrendszerek'!$P$16:$P$18</c:f>
              <c:numCache>
                <c:formatCode>0.00</c:formatCode>
                <c:ptCount val="3"/>
                <c:pt idx="0">
                  <c:v>1</c:v>
                </c:pt>
                <c:pt idx="1">
                  <c:v>-0.60794944505860804</c:v>
                </c:pt>
                <c:pt idx="2">
                  <c:v>8.6359556046885846E-2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B25-42D5-80A3-09BBF66B8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6926328"/>
        <c:axId val="416925672"/>
      </c:scatterChart>
      <c:valAx>
        <c:axId val="416926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16925672"/>
        <c:crosses val="autoZero"/>
        <c:crossBetween val="midCat"/>
        <c:majorUnit val="1"/>
      </c:valAx>
      <c:valAx>
        <c:axId val="416925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169263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sz="1800" b="0" i="0" baseline="0">
                <a:solidFill>
                  <a:schemeClr val="accent1"/>
                </a:solidFill>
                <a:effectLst/>
                <a:sym typeface="Symbol" panose="05050102010706020507" pitchFamily="18" charset="2"/>
              </a:rPr>
              <a:t></a:t>
            </a:r>
            <a:r>
              <a:rPr lang="hu-HU" sz="1800" b="0" i="0" baseline="-25000">
                <a:solidFill>
                  <a:schemeClr val="accent1"/>
                </a:solidFill>
                <a:effectLst/>
              </a:rPr>
              <a:t>1</a:t>
            </a:r>
            <a:r>
              <a:rPr lang="hu-HU" sz="1800" b="0" i="0" baseline="0">
                <a:solidFill>
                  <a:schemeClr val="accent1"/>
                </a:solidFill>
                <a:effectLst/>
              </a:rPr>
              <a:t> </a:t>
            </a:r>
            <a:r>
              <a:rPr lang="hu-HU" sz="1800" b="0" i="0" baseline="0">
                <a:effectLst/>
              </a:rPr>
              <a:t>, </a:t>
            </a:r>
            <a:r>
              <a:rPr lang="hu-HU" sz="1800" b="0" i="0" baseline="0">
                <a:solidFill>
                  <a:srgbClr val="FF0000"/>
                </a:solidFill>
                <a:effectLst/>
                <a:sym typeface="Symbol" panose="05050102010706020507" pitchFamily="18" charset="2"/>
              </a:rPr>
              <a:t></a:t>
            </a:r>
            <a:r>
              <a:rPr lang="hu-HU" sz="1800" b="0" i="0" baseline="-25000">
                <a:solidFill>
                  <a:srgbClr val="FF0000"/>
                </a:solidFill>
                <a:effectLst/>
              </a:rPr>
              <a:t>2</a:t>
            </a:r>
            <a:r>
              <a:rPr lang="hu-HU" sz="1800" b="0" i="0" baseline="0">
                <a:solidFill>
                  <a:srgbClr val="FF0000"/>
                </a:solidFill>
                <a:effectLst/>
              </a:rPr>
              <a:t> </a:t>
            </a:r>
            <a:r>
              <a:rPr lang="hu-HU" sz="1800" b="0" i="0" baseline="0">
                <a:effectLst/>
              </a:rPr>
              <a:t>lengésképe</a:t>
            </a:r>
            <a:endParaRPr lang="hu-HU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'Kötött láncszerű'!$Q$14:$Q$15</c:f>
              <c:numCache>
                <c:formatCode>General</c:formatCode>
                <c:ptCount val="2"/>
                <c:pt idx="0">
                  <c:v>1</c:v>
                </c:pt>
                <c:pt idx="1">
                  <c:v>2</c:v>
                </c:pt>
              </c:numCache>
            </c:numRef>
          </c:xVal>
          <c:yVal>
            <c:numRef>
              <c:f>'Kötött láncszerű'!$R$14:$R$15</c:f>
              <c:numCache>
                <c:formatCode>0.00</c:formatCode>
                <c:ptCount val="2"/>
                <c:pt idx="0">
                  <c:v>1</c:v>
                </c:pt>
                <c:pt idx="1">
                  <c:v>2.1196329811802248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99-4298-8358-BA779C3163CD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'Kötött láncszerű'!$Q$14:$Q$15</c:f>
              <c:numCache>
                <c:formatCode>General</c:formatCode>
                <c:ptCount val="2"/>
                <c:pt idx="0">
                  <c:v>1</c:v>
                </c:pt>
                <c:pt idx="1">
                  <c:v>2</c:v>
                </c:pt>
              </c:numCache>
            </c:numRef>
          </c:xVal>
          <c:yVal>
            <c:numRef>
              <c:f>'Kötött láncszerű'!$S$14:$S$15</c:f>
              <c:numCache>
                <c:formatCode>0.00</c:formatCode>
                <c:ptCount val="2"/>
                <c:pt idx="0">
                  <c:v>1</c:v>
                </c:pt>
                <c:pt idx="1">
                  <c:v>-0.78629964784689088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99-4298-8358-BA779C316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750536"/>
        <c:axId val="414749552"/>
      </c:scatterChart>
      <c:valAx>
        <c:axId val="4147505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14749552"/>
        <c:crosses val="autoZero"/>
        <c:crossBetween val="midCat"/>
        <c:majorUnit val="1"/>
      </c:valAx>
      <c:valAx>
        <c:axId val="414749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147505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sz="1800" b="1" i="0" baseline="0">
                <a:solidFill>
                  <a:srgbClr val="0070C0"/>
                </a:solidFill>
                <a:effectLst/>
                <a:sym typeface="Symbol" panose="05050102010706020507" pitchFamily="18" charset="2"/>
              </a:rPr>
              <a:t></a:t>
            </a:r>
            <a:r>
              <a:rPr lang="hu-HU" sz="1800" b="1" i="0" baseline="-25000">
                <a:solidFill>
                  <a:srgbClr val="0070C0"/>
                </a:solidFill>
                <a:effectLst/>
              </a:rPr>
              <a:t>1</a:t>
            </a:r>
            <a:r>
              <a:rPr lang="hu-HU" sz="1800" b="1" i="0" baseline="0">
                <a:solidFill>
                  <a:srgbClr val="0070C0"/>
                </a:solidFill>
                <a:effectLst/>
              </a:rPr>
              <a:t> </a:t>
            </a:r>
            <a:r>
              <a:rPr lang="hu-HU" sz="1800" b="0" i="0" baseline="0">
                <a:effectLst/>
              </a:rPr>
              <a:t>, </a:t>
            </a:r>
            <a:r>
              <a:rPr lang="hu-HU" sz="1800" b="1" i="0" baseline="0">
                <a:solidFill>
                  <a:srgbClr val="FF0000"/>
                </a:solidFill>
                <a:effectLst/>
                <a:sym typeface="Symbol" panose="05050102010706020507" pitchFamily="18" charset="2"/>
              </a:rPr>
              <a:t></a:t>
            </a:r>
            <a:r>
              <a:rPr lang="hu-HU" sz="1800" b="1" i="0" baseline="-25000">
                <a:solidFill>
                  <a:srgbClr val="FF0000"/>
                </a:solidFill>
                <a:effectLst/>
              </a:rPr>
              <a:t>2</a:t>
            </a:r>
            <a:r>
              <a:rPr lang="hu-HU" sz="1800" b="1" i="0" baseline="0">
                <a:solidFill>
                  <a:srgbClr val="FF0000"/>
                </a:solidFill>
                <a:effectLst/>
              </a:rPr>
              <a:t> </a:t>
            </a:r>
            <a:r>
              <a:rPr lang="hu-HU" sz="1800" b="0" i="0" baseline="0">
                <a:effectLst/>
              </a:rPr>
              <a:t>lengésképe</a:t>
            </a:r>
            <a:endParaRPr lang="hu-HU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'mindkét végén kötött láncszerű '!$O$30</c:f>
              <c:strCache>
                <c:ptCount val="1"/>
                <c:pt idx="0">
                  <c:v>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'mindkét végén kötött láncszerű '!$P$29:$Q$29</c:f>
              <c:strCache>
                <c:ptCount val="2"/>
                <c:pt idx="0">
                  <c:v>F1</c:v>
                </c:pt>
                <c:pt idx="1">
                  <c:v>F2</c:v>
                </c:pt>
              </c:strCache>
            </c:strRef>
          </c:cat>
          <c:val>
            <c:numRef>
              <c:f>'mindkét végén kötött láncszerű '!$P$30:$Q$30</c:f>
              <c:numCache>
                <c:formatCode>0.00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B5-4C30-A098-4C8D63D36562}"/>
            </c:ext>
          </c:extLst>
        </c:ser>
        <c:ser>
          <c:idx val="1"/>
          <c:order val="1"/>
          <c:tx>
            <c:strRef>
              <c:f>'mindkét végén kötött láncszerű '!$O$31</c:f>
              <c:strCache>
                <c:ptCount val="1"/>
                <c:pt idx="0">
                  <c:v>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'mindkét végén kötött láncszerű '!$P$29:$Q$29</c:f>
              <c:strCache>
                <c:ptCount val="2"/>
                <c:pt idx="0">
                  <c:v>F1</c:v>
                </c:pt>
                <c:pt idx="1">
                  <c:v>F2</c:v>
                </c:pt>
              </c:strCache>
            </c:strRef>
          </c:cat>
          <c:val>
            <c:numRef>
              <c:f>'mindkét végén kötött láncszerű '!$P$31:$Q$31</c:f>
              <c:numCache>
                <c:formatCode>0.00</c:formatCode>
                <c:ptCount val="2"/>
                <c:pt idx="0">
                  <c:v>0.99999999999999978</c:v>
                </c:pt>
                <c:pt idx="1">
                  <c:v>-1.9999999999999971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B5-4C30-A098-4C8D63D36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0056832"/>
        <c:axId val="370059456"/>
      </c:lineChart>
      <c:catAx>
        <c:axId val="37005683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70059456"/>
        <c:crosses val="autoZero"/>
        <c:auto val="1"/>
        <c:lblAlgn val="ctr"/>
        <c:lblOffset val="100"/>
        <c:noMultiLvlLbl val="0"/>
      </c:catAx>
      <c:valAx>
        <c:axId val="3700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70056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v2</a:t>
            </a:r>
            <a:r>
              <a:rPr lang="hu-HU"/>
              <a:t> - sebesség - idő</a:t>
            </a:r>
            <a:endParaRPr lang="en-U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'csillapitatlan szabad lengés'!$D$9</c:f>
              <c:strCache>
                <c:ptCount val="1"/>
                <c:pt idx="0">
                  <c:v>v2</c:v>
                </c:pt>
              </c:strCache>
            </c:strRef>
          </c:tx>
          <c:xVal>
            <c:numRef>
              <c:f>'csillapitatlan szabad lengés'!$A$10:$A$100</c:f>
              <c:numCache>
                <c:formatCode>General</c:formatCode>
                <c:ptCount val="9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</c:numCache>
            </c:numRef>
          </c:xVal>
          <c:yVal>
            <c:numRef>
              <c:f>'csillapitatlan szabad lengés'!$D$10:$D$100</c:f>
              <c:numCache>
                <c:formatCode>General</c:formatCode>
                <c:ptCount val="91"/>
                <c:pt idx="0">
                  <c:v>0</c:v>
                </c:pt>
                <c:pt idx="1">
                  <c:v>-0.96375177463262329</c:v>
                </c:pt>
                <c:pt idx="2">
                  <c:v>-1.9065933572181313</c:v>
                </c:pt>
                <c:pt idx="3">
                  <c:v>-2.8080682369818653</c:v>
                </c:pt>
                <c:pt idx="4">
                  <c:v>-3.6486174223269523</c:v>
                </c:pt>
                <c:pt idx="5">
                  <c:v>-4.4100038055735524</c:v>
                </c:pt>
                <c:pt idx="6">
                  <c:v>-5.0757078472356678</c:v>
                </c:pt>
                <c:pt idx="7">
                  <c:v>-5.6312859948093337</c:v>
                </c:pt>
                <c:pt idx="8">
                  <c:v>-6.0646840595825466</c:v>
                </c:pt>
                <c:pt idx="9">
                  <c:v>-6.3664987522376766</c:v>
                </c:pt>
                <c:pt idx="10">
                  <c:v>-6.5301817027979521</c:v>
                </c:pt>
                <c:pt idx="11">
                  <c:v>-6.5521815383672175</c:v>
                </c:pt>
                <c:pt idx="12">
                  <c:v>-6.4320209360508578</c:v>
                </c:pt>
                <c:pt idx="13">
                  <c:v>-6.172306979267101</c:v>
                </c:pt>
                <c:pt idx="14">
                  <c:v>-5.7786745927513472</c:v>
                </c:pt>
                <c:pt idx="15">
                  <c:v>-5.2596642835248648</c:v>
                </c:pt>
                <c:pt idx="16">
                  <c:v>-4.6265368404401519</c:v>
                </c:pt>
                <c:pt idx="17">
                  <c:v>-3.8930290127034515</c:v>
                </c:pt>
                <c:pt idx="18">
                  <c:v>-3.0750554683338014</c:v>
                </c:pt>
                <c:pt idx="19">
                  <c:v>-2.1903634990638152</c:v>
                </c:pt>
                <c:pt idx="20">
                  <c:v>-1.2581479634316559</c:v>
                </c:pt>
                <c:pt idx="21">
                  <c:v>-0.29863482251200574</c:v>
                </c:pt>
                <c:pt idx="22">
                  <c:v>0.66735769583142712</c:v>
                </c:pt>
                <c:pt idx="23">
                  <c:v>1.6188707829029725</c:v>
                </c:pt>
                <c:pt idx="24">
                  <c:v>2.5352597852662178</c:v>
                </c:pt>
                <c:pt idx="25">
                  <c:v>3.3966421247162346</c:v>
                </c:pt>
                <c:pt idx="26">
                  <c:v>4.1843286837665605</c:v>
                </c:pt>
                <c:pt idx="27">
                  <c:v>4.8812292970279252</c:v>
                </c:pt>
                <c:pt idx="28">
                  <c:v>5.4722235506711545</c:v>
                </c:pt>
                <c:pt idx="29">
                  <c:v>5.9444888448653561</c:v>
                </c:pt>
                <c:pt idx="30">
                  <c:v>6.2877786013331036</c:v>
                </c:pt>
                <c:pt idx="31">
                  <c:v>6.4946445798485497</c:v>
                </c:pt>
                <c:pt idx="32">
                  <c:v>6.5605984801536517</c:v>
                </c:pt>
                <c:pt idx="33">
                  <c:v>6.484209323071056</c:v>
                </c:pt>
                <c:pt idx="34">
                  <c:v>6.2671344979690211</c:v>
                </c:pt>
                <c:pt idx="35">
                  <c:v>5.9140838029521525</c:v>
                </c:pt>
                <c:pt idx="36">
                  <c:v>5.4327172579856393</c:v>
                </c:pt>
                <c:pt idx="37">
                  <c:v>4.8334789080665894</c:v>
                </c:pt>
                <c:pt idx="38">
                  <c:v>4.1293702223581397</c:v>
                </c:pt>
                <c:pt idx="39">
                  <c:v>3.3356680057676704</c:v>
                </c:pt>
                <c:pt idx="40">
                  <c:v>2.4695929433449755</c:v>
                </c:pt>
                <c:pt idx="41">
                  <c:v>1.5499359689790073</c:v>
                </c:pt>
                <c:pt idx="42">
                  <c:v>0.59665056494353996</c:v>
                </c:pt>
                <c:pt idx="43">
                  <c:v>-0.36958016197109417</c:v>
                </c:pt>
                <c:pt idx="44">
                  <c:v>-1.3277922347394722</c:v>
                </c:pt>
                <c:pt idx="45">
                  <c:v>-2.2571956543277771</c:v>
                </c:pt>
                <c:pt idx="46">
                  <c:v>-3.1376254731796327</c:v>
                </c:pt>
                <c:pt idx="47">
                  <c:v>-3.9499793071741562</c:v>
                </c:pt>
                <c:pt idx="48">
                  <c:v>-4.676631793509296</c:v>
                </c:pt>
                <c:pt idx="49">
                  <c:v>-5.3018170021595754</c:v>
                </c:pt>
                <c:pt idx="50">
                  <c:v>-5.8119705038580536</c:v>
                </c:pt>
                <c:pt idx="51">
                  <c:v>-6.1960236728705889</c:v>
                </c:pt>
                <c:pt idx="52">
                  <c:v>-6.445643839175986</c:v>
                </c:pt>
                <c:pt idx="53">
                  <c:v>-6.55541507955245</c:v>
                </c:pt>
                <c:pt idx="54">
                  <c:v>-6.5229557250080878</c:v>
                </c:pt>
                <c:pt idx="55">
                  <c:v>-6.3489700350370102</c:v>
                </c:pt>
                <c:pt idx="56">
                  <c:v>-6.037232917542374</c:v>
                </c:pt>
                <c:pt idx="57">
                  <c:v>-5.5945080259530142</c:v>
                </c:pt>
                <c:pt idx="58">
                  <c:v>-5.0304010105523549</c:v>
                </c:pt>
                <c:pt idx="59">
                  <c:v>-4.3571511079754384</c:v>
                </c:pt>
                <c:pt idx="60">
                  <c:v>-3.5893655906850688</c:v>
                </c:pt>
                <c:pt idx="61">
                  <c:v>-2.7437028379860857</c:v>
                </c:pt>
                <c:pt idx="62">
                  <c:v>-1.8385109048771746</c:v>
                </c:pt>
                <c:pt idx="63">
                  <c:v>-0.89342943058805357</c:v>
                </c:pt>
                <c:pt idx="64">
                  <c:v>7.1036475943749067E-2</c:v>
                </c:pt>
                <c:pt idx="65">
                  <c:v>1.0339611283960051</c:v>
                </c:pt>
                <c:pt idx="66">
                  <c:v>1.9744522805081288</c:v>
                </c:pt>
                <c:pt idx="67">
                  <c:v>2.8721044179901454</c:v>
                </c:pt>
                <c:pt idx="68">
                  <c:v>3.7074414899746735</c:v>
                </c:pt>
                <c:pt idx="69">
                  <c:v>4.4623394742196592</c:v>
                </c:pt>
                <c:pt idx="70">
                  <c:v>5.1204196078091506</c:v>
                </c:pt>
                <c:pt idx="71">
                  <c:v>5.6674037515604647</c:v>
                </c:pt>
                <c:pt idx="72">
                  <c:v>6.0914241779180127</c:v>
                </c:pt>
                <c:pt idx="73">
                  <c:v>6.3832810609718242</c:v>
                </c:pt>
                <c:pt idx="74">
                  <c:v>6.5366420819282487</c:v>
                </c:pt>
                <c:pt idx="75">
                  <c:v>6.5481798192611693</c:v>
                </c:pt>
                <c:pt idx="76">
                  <c:v>6.4176439426368121</c:v>
                </c:pt>
                <c:pt idx="77">
                  <c:v>6.1478666442452212</c:v>
                </c:pt>
                <c:pt idx="78">
                  <c:v>5.7447011896966895</c:v>
                </c:pt>
                <c:pt idx="79">
                  <c:v>5.2168949217233154</c:v>
                </c:pt>
                <c:pt idx="80">
                  <c:v>4.5758994720807884</c:v>
                </c:pt>
                <c:pt idx="81">
                  <c:v>3.8356222994178504</c:v>
                </c:pt>
                <c:pt idx="82">
                  <c:v>3.0121249439110676</c:v>
                </c:pt>
                <c:pt idx="83">
                  <c:v>2.1232745455306516</c:v>
                </c:pt>
                <c:pt idx="84">
                  <c:v>1.1883561868264156</c:v>
                </c:pt>
                <c:pt idx="85">
                  <c:v>0.22765447109915254</c:v>
                </c:pt>
                <c:pt idx="86">
                  <c:v>-0.73798658568703768</c:v>
                </c:pt>
                <c:pt idx="87">
                  <c:v>-1.6876158003774953</c:v>
                </c:pt>
                <c:pt idx="88">
                  <c:v>-2.6006293932693807</c:v>
                </c:pt>
                <c:pt idx="89">
                  <c:v>-3.4572180212605739</c:v>
                </c:pt>
                <c:pt idx="90">
                  <c:v>-4.2387965743796627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A28-422F-8FDD-CE82A8B8B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1068256"/>
        <c:axId val="1"/>
      </c:scatterChart>
      <c:valAx>
        <c:axId val="291068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106825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a2</a:t>
            </a:r>
            <a:r>
              <a:rPr lang="hu-HU"/>
              <a:t> gyorsulás - idő </a:t>
            </a:r>
            <a:endParaRPr lang="en-U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'csillapitatlan szabad lengés'!$E$9</c:f>
              <c:strCache>
                <c:ptCount val="1"/>
                <c:pt idx="0">
                  <c:v>a2</c:v>
                </c:pt>
              </c:strCache>
            </c:strRef>
          </c:tx>
          <c:xVal>
            <c:numRef>
              <c:f>'csillapitatlan szabad lengés'!$A$10:$A$100</c:f>
              <c:numCache>
                <c:formatCode>General</c:formatCode>
                <c:ptCount val="9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</c:numCache>
            </c:numRef>
          </c:xVal>
          <c:yVal>
            <c:numRef>
              <c:f>'csillapitatlan szabad lengés'!$E$10:$E$100</c:f>
              <c:numCache>
                <c:formatCode>General</c:formatCode>
                <c:ptCount val="91"/>
                <c:pt idx="0">
                  <c:v>-96.725200000000015</c:v>
                </c:pt>
                <c:pt idx="1">
                  <c:v>-95.675893238117979</c:v>
                </c:pt>
                <c:pt idx="2">
                  <c:v>-92.55073940176392</c:v>
                </c:pt>
                <c:pt idx="3">
                  <c:v>-87.417543882964068</c:v>
                </c:pt>
                <c:pt idx="4">
                  <c:v>-80.387679866119981</c:v>
                </c:pt>
                <c:pt idx="5">
                  <c:v>-71.613671902186056</c:v>
                </c:pt>
                <c:pt idx="6">
                  <c:v>-61.285886635746365</c:v>
                </c:pt>
                <c:pt idx="7">
                  <c:v>-49.628402485151859</c:v>
                </c:pt>
                <c:pt idx="8">
                  <c:v>-36.894147889852732</c:v>
                </c:pt>
                <c:pt idx="9">
                  <c:v>-23.359413608707534</c:v>
                </c:pt>
                <c:pt idx="10">
                  <c:v>-9.317858134052976</c:v>
                </c:pt>
                <c:pt idx="11">
                  <c:v>4.9258637159891396</c:v>
                </c:pt>
                <c:pt idx="12">
                  <c:v>19.062710788717883</c:v>
                </c:pt>
                <c:pt idx="13">
                  <c:v>32.78596075685747</c:v>
                </c:pt>
                <c:pt idx="14">
                  <c:v>45.79786496780104</c:v>
                </c:pt>
                <c:pt idx="15">
                  <c:v>57.816108594109444</c:v>
                </c:pt>
                <c:pt idx="16">
                  <c:v>68.579935921593886</c:v>
                </c:pt>
                <c:pt idx="17">
                  <c:v>77.855807876704532</c:v>
                </c:pt>
                <c:pt idx="18">
                  <c:v>85.442469043792713</c:v>
                </c:pt>
                <c:pt idx="19">
                  <c:v>91.175314234908811</c:v>
                </c:pt>
                <c:pt idx="20">
                  <c:v>94.929959872167004</c:v>
                </c:pt>
                <c:pt idx="21">
                  <c:v>96.624942695617491</c:v>
                </c:pt>
                <c:pt idx="22">
                  <c:v>96.223487243686293</c:v>
                </c:pt>
                <c:pt idx="23">
                  <c:v>93.734303757764565</c:v>
                </c:pt>
                <c:pt idx="24">
                  <c:v>89.211399199085648</c:v>
                </c:pt>
                <c:pt idx="25">
                  <c:v>82.752905478191337</c:v>
                </c:pt>
                <c:pt idx="26">
                  <c:v>74.498950320491502</c:v>
                </c:pt>
                <c:pt idx="27">
                  <c:v>64.62861696301735</c:v>
                </c:pt>
                <c:pt idx="28">
                  <c:v>53.356058646786224</c:v>
                </c:pt>
                <c:pt idx="29">
                  <c:v>40.9258522073061</c:v>
                </c:pt>
                <c:pt idx="30">
                  <c:v>27.607691574773611</c:v>
                </c:pt>
                <c:pt idx="31">
                  <c:v>13.69053631727547</c:v>
                </c:pt>
                <c:pt idx="32">
                  <c:v>-0.52365781595533623</c:v>
                </c:pt>
                <c:pt idx="33">
                  <c:v>-14.726490324972509</c:v>
                </c:pt>
                <c:pt idx="34">
                  <c:v>-28.609807219097515</c:v>
                </c:pt>
                <c:pt idx="35">
                  <c:v>-41.872386928473553</c:v>
                </c:pt>
                <c:pt idx="36">
                  <c:v>-54.226475805260186</c:v>
                </c:pt>
                <c:pt idx="37">
                  <c:v>-65.404031415938448</c:v>
                </c:pt>
                <c:pt idx="38">
                  <c:v>-75.162538166152459</c:v>
                </c:pt>
                <c:pt idx="39">
                  <c:v>-83.290269078467745</c:v>
                </c:pt>
                <c:pt idx="40">
                  <c:v>-89.610879560057441</c:v>
                </c:pt>
                <c:pt idx="41">
                  <c:v>-93.987233490912345</c:v>
                </c:pt>
                <c:pt idx="42">
                  <c:v>-96.324378619250453</c:v>
                </c:pt>
                <c:pt idx="43">
                  <c:v>-96.571606707990526</c:v>
                </c:pt>
                <c:pt idx="44">
                  <c:v>-94.723553733998088</c:v>
                </c:pt>
                <c:pt idx="45">
                  <c:v>-90.820316269457564</c:v>
                </c:pt>
                <c:pt idx="46">
                  <c:v>-84.946581520283686</c:v>
                </c:pt>
                <c:pt idx="47">
                  <c:v>-77.229789896831065</c:v>
                </c:pt>
                <c:pt idx="48">
                  <c:v>-67.837369982974806</c:v>
                </c:pt>
                <c:pt idx="49">
                  <c:v>-56.973105895492054</c:v>
                </c:pt>
                <c:pt idx="50">
                  <c:v>-44.872715849901965</c:v>
                </c:pt>
                <c:pt idx="51">
                  <c:v>-31.798737863107043</c:v>
                </c:pt>
                <c:pt idx="52">
                  <c:v>-18.034833555992851</c:v>
                </c:pt>
                <c:pt idx="53">
                  <c:v>-3.8796336444297621</c:v>
                </c:pt>
                <c:pt idx="54">
                  <c:v>10.359741349050454</c:v>
                </c:pt>
                <c:pt idx="55">
                  <c:v>24.374344584004294</c:v>
                </c:pt>
                <c:pt idx="56">
                  <c:v>37.860106015820286</c:v>
                </c:pt>
                <c:pt idx="57">
                  <c:v>50.524429699293847</c:v>
                </c:pt>
                <c:pt idx="58">
                  <c:v>62.092542142600678</c:v>
                </c:pt>
                <c:pt idx="59">
                  <c:v>72.313453973602066</c:v>
                </c:pt>
                <c:pt idx="60">
                  <c:v>80.965405570258312</c:v>
                </c:pt>
                <c:pt idx="61">
                  <c:v>87.860678503166255</c:v>
                </c:pt>
                <c:pt idx="62">
                  <c:v>92.849668398005122</c:v>
                </c:pt>
                <c:pt idx="63">
                  <c:v>95.824130850387846</c:v>
                </c:pt>
                <c:pt idx="64">
                  <c:v>96.719529967615259</c:v>
                </c:pt>
                <c:pt idx="65">
                  <c:v>95.516438581828552</c:v>
                </c:pt>
                <c:pt idx="66">
                  <c:v>92.240959754613939</c:v>
                </c:pt>
                <c:pt idx="67">
                  <c:v>86.964160427818911</c:v>
                </c:pt>
                <c:pt idx="68">
                  <c:v>79.800529508464749</c:v>
                </c:pt>
                <c:pt idx="69">
                  <c:v>70.905493842157384</c:v>
                </c:pt>
                <c:pt idx="70">
                  <c:v>60.472045970071882</c:v>
                </c:pt>
                <c:pt idx="71">
                  <c:v>48.726556835911332</c:v>
                </c:pt>
                <c:pt idx="72">
                  <c:v>35.92386429310114</c:v>
                </c:pt>
                <c:pt idx="73">
                  <c:v>22.341743975198721</c:v>
                </c:pt>
                <c:pt idx="74">
                  <c:v>8.274882493144224</c:v>
                </c:pt>
                <c:pt idx="75">
                  <c:v>-5.9715162791681866</c:v>
                </c:pt>
                <c:pt idx="76">
                  <c:v>-20.088353108772559</c:v>
                </c:pt>
                <c:pt idx="77">
                  <c:v>-33.769339823781834</c:v>
                </c:pt>
                <c:pt idx="78">
                  <c:v>-46.717644742912093</c:v>
                </c:pt>
                <c:pt idx="79">
                  <c:v>-58.652332930767606</c:v>
                </c:pt>
                <c:pt idx="80">
                  <c:v>-69.314461546879571</c:v>
                </c:pt>
                <c:pt idx="81">
                  <c:v>-78.472698039793983</c:v>
                </c:pt>
                <c:pt idx="82">
                  <c:v>-85.928339290180276</c:v>
                </c:pt>
                <c:pt idx="83">
                  <c:v>-91.519622804330865</c:v>
                </c:pt>
                <c:pt idx="84">
                  <c:v>-95.125236419562057</c:v>
                </c:pt>
                <c:pt idx="85">
                  <c:v>-96.666950372643726</c:v>
                </c:pt>
                <c:pt idx="86">
                  <c:v>-96.111314624168187</c:v>
                </c:pt>
                <c:pt idx="87">
                  <c:v>-93.470384612594472</c:v>
                </c:pt>
                <c:pt idx="88">
                  <c:v>-88.801459691530624</c:v>
                </c:pt>
                <c:pt idx="89">
                  <c:v>-82.205839925290505</c:v>
                </c:pt>
                <c:pt idx="90">
                  <c:v>-73.826628216106968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7CC-4053-A86E-F769B257C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1070552"/>
        <c:axId val="1"/>
      </c:scatterChart>
      <c:valAx>
        <c:axId val="291070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10705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y1</a:t>
            </a:r>
            <a:r>
              <a:rPr lang="hu-HU"/>
              <a:t>- kitérés- idő</a:t>
            </a:r>
            <a:endParaRPr lang="en-U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'csillapitatlan szabad lengés'!$B$9</c:f>
              <c:strCache>
                <c:ptCount val="1"/>
                <c:pt idx="0">
                  <c:v>y1</c:v>
                </c:pt>
              </c:strCache>
            </c:strRef>
          </c:tx>
          <c:xVal>
            <c:numRef>
              <c:f>'csillapitatlan szabad lengés'!$A$10:$A$100</c:f>
              <c:numCache>
                <c:formatCode>General</c:formatCode>
                <c:ptCount val="9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</c:numCache>
            </c:numRef>
          </c:xVal>
          <c:yVal>
            <c:numRef>
              <c:f>'csillapitatlan szabad lengés'!$B$10:$B$100</c:f>
              <c:numCache>
                <c:formatCode>General</c:formatCode>
                <c:ptCount val="91"/>
                <c:pt idx="0">
                  <c:v>0.44500000000000001</c:v>
                </c:pt>
                <c:pt idx="1">
                  <c:v>0.4401724937344404</c:v>
                </c:pt>
                <c:pt idx="2">
                  <c:v>0.42579471568717292</c:v>
                </c:pt>
                <c:pt idx="3">
                  <c:v>0.40217861558227852</c:v>
                </c:pt>
                <c:pt idx="4">
                  <c:v>0.36983658385222662</c:v>
                </c:pt>
                <c:pt idx="5">
                  <c:v>0.32947033447822066</c:v>
                </c:pt>
                <c:pt idx="6">
                  <c:v>0.28195568014237371</c:v>
                </c:pt>
                <c:pt idx="7">
                  <c:v>0.2283235300200214</c:v>
                </c:pt>
                <c:pt idx="8">
                  <c:v>0.16973752249656204</c:v>
                </c:pt>
                <c:pt idx="9">
                  <c:v>0.10746877810410163</c:v>
                </c:pt>
                <c:pt idx="10">
                  <c:v>4.2868320454789173E-2</c:v>
                </c:pt>
                <c:pt idx="11">
                  <c:v>-2.2662236455599647E-2</c:v>
                </c:pt>
                <c:pt idx="12">
                  <c:v>-8.7701098586298681E-2</c:v>
                </c:pt>
                <c:pt idx="13">
                  <c:v>-0.15083714002970863</c:v>
                </c:pt>
                <c:pt idx="14">
                  <c:v>-0.2107005197267254</c:v>
                </c:pt>
                <c:pt idx="15">
                  <c:v>-0.26599240243885458</c:v>
                </c:pt>
                <c:pt idx="16">
                  <c:v>-0.31551313913136675</c:v>
                </c:pt>
                <c:pt idx="17">
                  <c:v>-0.35818829534737079</c:v>
                </c:pt>
                <c:pt idx="18">
                  <c:v>-0.39309196284409598</c:v>
                </c:pt>
                <c:pt idx="19">
                  <c:v>-0.41946684870679429</c:v>
                </c:pt>
                <c:pt idx="20">
                  <c:v>-0.43674070607364274</c:v>
                </c:pt>
                <c:pt idx="21">
                  <c:v>-0.4445387499798375</c:v>
                </c:pt>
                <c:pt idx="22">
                  <c:v>-0.44269178893856403</c:v>
                </c:pt>
                <c:pt idx="23">
                  <c:v>-0.43123989583071654</c:v>
                </c:pt>
                <c:pt idx="24">
                  <c:v>-0.41043153845733177</c:v>
                </c:pt>
                <c:pt idx="25">
                  <c:v>-0.38071818861884121</c:v>
                </c:pt>
                <c:pt idx="26">
                  <c:v>-0.34274452668610367</c:v>
                </c:pt>
                <c:pt idx="27">
                  <c:v>-0.29733445419128329</c:v>
                </c:pt>
                <c:pt idx="28">
                  <c:v>-0.24547321791859686</c:v>
                </c:pt>
                <c:pt idx="29">
                  <c:v>-0.18828603334240934</c:v>
                </c:pt>
                <c:pt idx="30">
                  <c:v>-0.1270136712126132</c:v>
                </c:pt>
                <c:pt idx="31">
                  <c:v>-6.2985536976791809E-2</c:v>
                </c:pt>
                <c:pt idx="32">
                  <c:v>2.4091728742884435E-3</c:v>
                </c:pt>
                <c:pt idx="33">
                  <c:v>6.7751611726962216E-2</c:v>
                </c:pt>
                <c:pt idx="34">
                  <c:v>0.13162406707350713</c:v>
                </c:pt>
                <c:pt idx="35">
                  <c:v>0.1926407201346777</c:v>
                </c:pt>
                <c:pt idx="36">
                  <c:v>0.24947771349494008</c:v>
                </c:pt>
                <c:pt idx="37">
                  <c:v>0.30090187438322802</c:v>
                </c:pt>
                <c:pt idx="38">
                  <c:v>0.34579747040003889</c:v>
                </c:pt>
                <c:pt idx="39">
                  <c:v>0.38319041718102564</c:v>
                </c:pt>
                <c:pt idx="40">
                  <c:v>0.41226941277170331</c:v>
                </c:pt>
                <c:pt idx="41">
                  <c:v>0.43240354016798088</c:v>
                </c:pt>
                <c:pt idx="42">
                  <c:v>0.44315595610623132</c:v>
                </c:pt>
                <c:pt idx="43">
                  <c:v>0.44429336910190698</c:v>
                </c:pt>
                <c:pt idx="44">
                  <c:v>0.43579110109494879</c:v>
                </c:pt>
                <c:pt idx="45">
                  <c:v>0.41783362288119963</c:v>
                </c:pt>
                <c:pt idx="46">
                  <c:v>0.39081055171275153</c:v>
                </c:pt>
                <c:pt idx="47">
                  <c:v>0.35530819790592133</c:v>
                </c:pt>
                <c:pt idx="48">
                  <c:v>0.31209684386720093</c:v>
                </c:pt>
                <c:pt idx="49">
                  <c:v>0.26211403153980511</c:v>
                </c:pt>
                <c:pt idx="50">
                  <c:v>0.20644422087735534</c:v>
                </c:pt>
                <c:pt idx="51">
                  <c:v>0.14629526068783141</c:v>
                </c:pt>
                <c:pt idx="52">
                  <c:v>8.2972182351825768E-2</c:v>
                </c:pt>
                <c:pt idx="53">
                  <c:v>1.7848885003817452E-2</c:v>
                </c:pt>
                <c:pt idx="54">
                  <c:v>-4.7661673486614153E-2</c:v>
                </c:pt>
                <c:pt idx="55">
                  <c:v>-0.11213813297756851</c:v>
                </c:pt>
                <c:pt idx="56">
                  <c:v>-0.17418156981882721</c:v>
                </c:pt>
                <c:pt idx="57">
                  <c:v>-0.23244584881898159</c:v>
                </c:pt>
                <c:pt idx="58">
                  <c:v>-0.28566682987946573</c:v>
                </c:pt>
                <c:pt idx="59">
                  <c:v>-0.3326897956091372</c:v>
                </c:pt>
                <c:pt idx="60">
                  <c:v>-0.37249450483188401</c:v>
                </c:pt>
                <c:pt idx="61">
                  <c:v>-0.40421732840985575</c:v>
                </c:pt>
                <c:pt idx="62">
                  <c:v>-0.4271699871089672</c:v>
                </c:pt>
                <c:pt idx="63">
                  <c:v>-0.44085448495761786</c:v>
                </c:pt>
                <c:pt idx="64">
                  <c:v>-0.44497391409465975</c:v>
                </c:pt>
                <c:pt idx="65">
                  <c:v>-0.43943889667753283</c:v>
                </c:pt>
                <c:pt idx="66">
                  <c:v>-0.42436952408269196</c:v>
                </c:pt>
                <c:pt idx="67">
                  <c:v>-0.40009275132415756</c:v>
                </c:pt>
                <c:pt idx="68">
                  <c:v>-0.36713530322260179</c:v>
                </c:pt>
                <c:pt idx="69">
                  <c:v>-0.3262122462373821</c:v>
                </c:pt>
                <c:pt idx="70">
                  <c:v>-0.27821147391457429</c:v>
                </c:pt>
                <c:pt idx="71">
                  <c:v>-0.22417444256492142</c:v>
                </c:pt>
                <c:pt idx="72">
                  <c:v>-0.16527357514308583</c:v>
                </c:pt>
                <c:pt idx="73">
                  <c:v>-0.10278682358851085</c:v>
                </c:pt>
                <c:pt idx="74">
                  <c:v>-3.8069941540045192E-2</c:v>
                </c:pt>
                <c:pt idx="75">
                  <c:v>2.7472930986235673E-2</c:v>
                </c:pt>
                <c:pt idx="76">
                  <c:v>9.2419732741868599E-2</c:v>
                </c:pt>
                <c:pt idx="77">
                  <c:v>0.15536133522166834</c:v>
                </c:pt>
                <c:pt idx="78">
                  <c:v>0.21493211604210563</c:v>
                </c:pt>
                <c:pt idx="79">
                  <c:v>0.26983958838225797</c:v>
                </c:pt>
                <c:pt idx="80">
                  <c:v>0.31889244362752833</c:v>
                </c:pt>
                <c:pt idx="81">
                  <c:v>0.36102639878447723</c:v>
                </c:pt>
                <c:pt idx="82">
                  <c:v>0.39532728786428162</c:v>
                </c:pt>
                <c:pt idx="83">
                  <c:v>0.4210508962289789</c:v>
                </c:pt>
                <c:pt idx="84">
                  <c:v>0.43763910756147428</c:v>
                </c:pt>
                <c:pt idx="85">
                  <c:v>0.44473201312405097</c:v>
                </c:pt>
                <c:pt idx="86">
                  <c:v>0.44217572057493643</c:v>
                </c:pt>
                <c:pt idx="87">
                  <c:v>0.43002569291771464</c:v>
                </c:pt>
                <c:pt idx="88">
                  <c:v>0.40854554513954089</c:v>
                </c:pt>
                <c:pt idx="89">
                  <c:v>0.37820132464708539</c:v>
                </c:pt>
                <c:pt idx="90">
                  <c:v>0.33965139959563379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BC6-4F60-B820-541A92883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1066288"/>
        <c:axId val="1"/>
      </c:scatterChart>
      <c:valAx>
        <c:axId val="29106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106628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Sebesséh</a:t>
            </a:r>
            <a:r>
              <a:rPr lang="hu-HU" baseline="0"/>
              <a:t> - kitérés kapcsolat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>
        <c:manualLayout>
          <c:layoutTarget val="inner"/>
          <c:xMode val="edge"/>
          <c:yMode val="edge"/>
          <c:x val="6.2833333333333352E-2"/>
          <c:y val="0.15319444444444447"/>
          <c:w val="0.87815966754155728"/>
          <c:h val="0.77736111111111106"/>
        </c:manualLayout>
      </c:layout>
      <c:scatterChart>
        <c:scatterStyle val="lineMarker"/>
        <c:varyColors val="0"/>
        <c:ser>
          <c:idx val="0"/>
          <c:order val="0"/>
          <c:tx>
            <c:strRef>
              <c:f>'csillapitatlan szabad lengés'!$D$9</c:f>
              <c:strCache>
                <c:ptCount val="1"/>
                <c:pt idx="0">
                  <c:v>v2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'csillapitatlan szabad lengés'!$B$10:$B$100</c:f>
              <c:numCache>
                <c:formatCode>General</c:formatCode>
                <c:ptCount val="91"/>
                <c:pt idx="0">
                  <c:v>0.44500000000000001</c:v>
                </c:pt>
                <c:pt idx="1">
                  <c:v>0.4401724937344404</c:v>
                </c:pt>
                <c:pt idx="2">
                  <c:v>0.42579471568717292</c:v>
                </c:pt>
                <c:pt idx="3">
                  <c:v>0.40217861558227852</c:v>
                </c:pt>
                <c:pt idx="4">
                  <c:v>0.36983658385222662</c:v>
                </c:pt>
                <c:pt idx="5">
                  <c:v>0.32947033447822066</c:v>
                </c:pt>
                <c:pt idx="6">
                  <c:v>0.28195568014237371</c:v>
                </c:pt>
                <c:pt idx="7">
                  <c:v>0.2283235300200214</c:v>
                </c:pt>
                <c:pt idx="8">
                  <c:v>0.16973752249656204</c:v>
                </c:pt>
                <c:pt idx="9">
                  <c:v>0.10746877810410163</c:v>
                </c:pt>
                <c:pt idx="10">
                  <c:v>4.2868320454789173E-2</c:v>
                </c:pt>
                <c:pt idx="11">
                  <c:v>-2.2662236455599647E-2</c:v>
                </c:pt>
                <c:pt idx="12">
                  <c:v>-8.7701098586298681E-2</c:v>
                </c:pt>
                <c:pt idx="13">
                  <c:v>-0.15083714002970863</c:v>
                </c:pt>
                <c:pt idx="14">
                  <c:v>-0.2107005197267254</c:v>
                </c:pt>
                <c:pt idx="15">
                  <c:v>-0.26599240243885458</c:v>
                </c:pt>
                <c:pt idx="16">
                  <c:v>-0.31551313913136675</c:v>
                </c:pt>
                <c:pt idx="17">
                  <c:v>-0.35818829534737079</c:v>
                </c:pt>
                <c:pt idx="18">
                  <c:v>-0.39309196284409598</c:v>
                </c:pt>
                <c:pt idx="19">
                  <c:v>-0.41946684870679429</c:v>
                </c:pt>
                <c:pt idx="20">
                  <c:v>-0.43674070607364274</c:v>
                </c:pt>
                <c:pt idx="21">
                  <c:v>-0.4445387499798375</c:v>
                </c:pt>
                <c:pt idx="22">
                  <c:v>-0.44269178893856403</c:v>
                </c:pt>
                <c:pt idx="23">
                  <c:v>-0.43123989583071654</c:v>
                </c:pt>
                <c:pt idx="24">
                  <c:v>-0.41043153845733177</c:v>
                </c:pt>
                <c:pt idx="25">
                  <c:v>-0.38071818861884121</c:v>
                </c:pt>
                <c:pt idx="26">
                  <c:v>-0.34274452668610367</c:v>
                </c:pt>
                <c:pt idx="27">
                  <c:v>-0.29733445419128329</c:v>
                </c:pt>
                <c:pt idx="28">
                  <c:v>-0.24547321791859686</c:v>
                </c:pt>
                <c:pt idx="29">
                  <c:v>-0.18828603334240934</c:v>
                </c:pt>
                <c:pt idx="30">
                  <c:v>-0.1270136712126132</c:v>
                </c:pt>
                <c:pt idx="31">
                  <c:v>-6.2985536976791809E-2</c:v>
                </c:pt>
                <c:pt idx="32">
                  <c:v>2.4091728742884435E-3</c:v>
                </c:pt>
                <c:pt idx="33">
                  <c:v>6.7751611726962216E-2</c:v>
                </c:pt>
                <c:pt idx="34">
                  <c:v>0.13162406707350713</c:v>
                </c:pt>
                <c:pt idx="35">
                  <c:v>0.1926407201346777</c:v>
                </c:pt>
                <c:pt idx="36">
                  <c:v>0.24947771349494008</c:v>
                </c:pt>
                <c:pt idx="37">
                  <c:v>0.30090187438322802</c:v>
                </c:pt>
                <c:pt idx="38">
                  <c:v>0.34579747040003889</c:v>
                </c:pt>
                <c:pt idx="39">
                  <c:v>0.38319041718102564</c:v>
                </c:pt>
                <c:pt idx="40">
                  <c:v>0.41226941277170331</c:v>
                </c:pt>
                <c:pt idx="41">
                  <c:v>0.43240354016798088</c:v>
                </c:pt>
                <c:pt idx="42">
                  <c:v>0.44315595610623132</c:v>
                </c:pt>
                <c:pt idx="43">
                  <c:v>0.44429336910190698</c:v>
                </c:pt>
                <c:pt idx="44">
                  <c:v>0.43579110109494879</c:v>
                </c:pt>
                <c:pt idx="45">
                  <c:v>0.41783362288119963</c:v>
                </c:pt>
                <c:pt idx="46">
                  <c:v>0.39081055171275153</c:v>
                </c:pt>
                <c:pt idx="47">
                  <c:v>0.35530819790592133</c:v>
                </c:pt>
                <c:pt idx="48">
                  <c:v>0.31209684386720093</c:v>
                </c:pt>
                <c:pt idx="49">
                  <c:v>0.26211403153980511</c:v>
                </c:pt>
                <c:pt idx="50">
                  <c:v>0.20644422087735534</c:v>
                </c:pt>
                <c:pt idx="51">
                  <c:v>0.14629526068783141</c:v>
                </c:pt>
                <c:pt idx="52">
                  <c:v>8.2972182351825768E-2</c:v>
                </c:pt>
                <c:pt idx="53">
                  <c:v>1.7848885003817452E-2</c:v>
                </c:pt>
                <c:pt idx="54">
                  <c:v>-4.7661673486614153E-2</c:v>
                </c:pt>
                <c:pt idx="55">
                  <c:v>-0.11213813297756851</c:v>
                </c:pt>
                <c:pt idx="56">
                  <c:v>-0.17418156981882721</c:v>
                </c:pt>
                <c:pt idx="57">
                  <c:v>-0.23244584881898159</c:v>
                </c:pt>
                <c:pt idx="58">
                  <c:v>-0.28566682987946573</c:v>
                </c:pt>
                <c:pt idx="59">
                  <c:v>-0.3326897956091372</c:v>
                </c:pt>
                <c:pt idx="60">
                  <c:v>-0.37249450483188401</c:v>
                </c:pt>
                <c:pt idx="61">
                  <c:v>-0.40421732840985575</c:v>
                </c:pt>
                <c:pt idx="62">
                  <c:v>-0.4271699871089672</c:v>
                </c:pt>
                <c:pt idx="63">
                  <c:v>-0.44085448495761786</c:v>
                </c:pt>
                <c:pt idx="64">
                  <c:v>-0.44497391409465975</c:v>
                </c:pt>
                <c:pt idx="65">
                  <c:v>-0.43943889667753283</c:v>
                </c:pt>
                <c:pt idx="66">
                  <c:v>-0.42436952408269196</c:v>
                </c:pt>
                <c:pt idx="67">
                  <c:v>-0.40009275132415756</c:v>
                </c:pt>
                <c:pt idx="68">
                  <c:v>-0.36713530322260179</c:v>
                </c:pt>
                <c:pt idx="69">
                  <c:v>-0.3262122462373821</c:v>
                </c:pt>
                <c:pt idx="70">
                  <c:v>-0.27821147391457429</c:v>
                </c:pt>
                <c:pt idx="71">
                  <c:v>-0.22417444256492142</c:v>
                </c:pt>
                <c:pt idx="72">
                  <c:v>-0.16527357514308583</c:v>
                </c:pt>
                <c:pt idx="73">
                  <c:v>-0.10278682358851085</c:v>
                </c:pt>
                <c:pt idx="74">
                  <c:v>-3.8069941540045192E-2</c:v>
                </c:pt>
                <c:pt idx="75">
                  <c:v>2.7472930986235673E-2</c:v>
                </c:pt>
                <c:pt idx="76">
                  <c:v>9.2419732741868599E-2</c:v>
                </c:pt>
                <c:pt idx="77">
                  <c:v>0.15536133522166834</c:v>
                </c:pt>
                <c:pt idx="78">
                  <c:v>0.21493211604210563</c:v>
                </c:pt>
                <c:pt idx="79">
                  <c:v>0.26983958838225797</c:v>
                </c:pt>
                <c:pt idx="80">
                  <c:v>0.31889244362752833</c:v>
                </c:pt>
                <c:pt idx="81">
                  <c:v>0.36102639878447723</c:v>
                </c:pt>
                <c:pt idx="82">
                  <c:v>0.39532728786428162</c:v>
                </c:pt>
                <c:pt idx="83">
                  <c:v>0.4210508962289789</c:v>
                </c:pt>
                <c:pt idx="84">
                  <c:v>0.43763910756147428</c:v>
                </c:pt>
                <c:pt idx="85">
                  <c:v>0.44473201312405097</c:v>
                </c:pt>
                <c:pt idx="86">
                  <c:v>0.44217572057493643</c:v>
                </c:pt>
                <c:pt idx="87">
                  <c:v>0.43002569291771464</c:v>
                </c:pt>
                <c:pt idx="88">
                  <c:v>0.40854554513954089</c:v>
                </c:pt>
                <c:pt idx="89">
                  <c:v>0.37820132464708539</c:v>
                </c:pt>
                <c:pt idx="90">
                  <c:v>0.33965139959563379</c:v>
                </c:pt>
              </c:numCache>
            </c:numRef>
          </c:xVal>
          <c:yVal>
            <c:numRef>
              <c:f>'csillapitatlan szabad lengés'!$D$10:$D$100</c:f>
              <c:numCache>
                <c:formatCode>General</c:formatCode>
                <c:ptCount val="91"/>
                <c:pt idx="0">
                  <c:v>0</c:v>
                </c:pt>
                <c:pt idx="1">
                  <c:v>-0.96375177463262329</c:v>
                </c:pt>
                <c:pt idx="2">
                  <c:v>-1.9065933572181313</c:v>
                </c:pt>
                <c:pt idx="3">
                  <c:v>-2.8080682369818653</c:v>
                </c:pt>
                <c:pt idx="4">
                  <c:v>-3.6486174223269523</c:v>
                </c:pt>
                <c:pt idx="5">
                  <c:v>-4.4100038055735524</c:v>
                </c:pt>
                <c:pt idx="6">
                  <c:v>-5.0757078472356678</c:v>
                </c:pt>
                <c:pt idx="7">
                  <c:v>-5.6312859948093337</c:v>
                </c:pt>
                <c:pt idx="8">
                  <c:v>-6.0646840595825466</c:v>
                </c:pt>
                <c:pt idx="9">
                  <c:v>-6.3664987522376766</c:v>
                </c:pt>
                <c:pt idx="10">
                  <c:v>-6.5301817027979521</c:v>
                </c:pt>
                <c:pt idx="11">
                  <c:v>-6.5521815383672175</c:v>
                </c:pt>
                <c:pt idx="12">
                  <c:v>-6.4320209360508578</c:v>
                </c:pt>
                <c:pt idx="13">
                  <c:v>-6.172306979267101</c:v>
                </c:pt>
                <c:pt idx="14">
                  <c:v>-5.7786745927513472</c:v>
                </c:pt>
                <c:pt idx="15">
                  <c:v>-5.2596642835248648</c:v>
                </c:pt>
                <c:pt idx="16">
                  <c:v>-4.6265368404401519</c:v>
                </c:pt>
                <c:pt idx="17">
                  <c:v>-3.8930290127034515</c:v>
                </c:pt>
                <c:pt idx="18">
                  <c:v>-3.0750554683338014</c:v>
                </c:pt>
                <c:pt idx="19">
                  <c:v>-2.1903634990638152</c:v>
                </c:pt>
                <c:pt idx="20">
                  <c:v>-1.2581479634316559</c:v>
                </c:pt>
                <c:pt idx="21">
                  <c:v>-0.29863482251200574</c:v>
                </c:pt>
                <c:pt idx="22">
                  <c:v>0.66735769583142712</c:v>
                </c:pt>
                <c:pt idx="23">
                  <c:v>1.6188707829029725</c:v>
                </c:pt>
                <c:pt idx="24">
                  <c:v>2.5352597852662178</c:v>
                </c:pt>
                <c:pt idx="25">
                  <c:v>3.3966421247162346</c:v>
                </c:pt>
                <c:pt idx="26">
                  <c:v>4.1843286837665605</c:v>
                </c:pt>
                <c:pt idx="27">
                  <c:v>4.8812292970279252</c:v>
                </c:pt>
                <c:pt idx="28">
                  <c:v>5.4722235506711545</c:v>
                </c:pt>
                <c:pt idx="29">
                  <c:v>5.9444888448653561</c:v>
                </c:pt>
                <c:pt idx="30">
                  <c:v>6.2877786013331036</c:v>
                </c:pt>
                <c:pt idx="31">
                  <c:v>6.4946445798485497</c:v>
                </c:pt>
                <c:pt idx="32">
                  <c:v>6.5605984801536517</c:v>
                </c:pt>
                <c:pt idx="33">
                  <c:v>6.484209323071056</c:v>
                </c:pt>
                <c:pt idx="34">
                  <c:v>6.2671344979690211</c:v>
                </c:pt>
                <c:pt idx="35">
                  <c:v>5.9140838029521525</c:v>
                </c:pt>
                <c:pt idx="36">
                  <c:v>5.4327172579856393</c:v>
                </c:pt>
                <c:pt idx="37">
                  <c:v>4.8334789080665894</c:v>
                </c:pt>
                <c:pt idx="38">
                  <c:v>4.1293702223581397</c:v>
                </c:pt>
                <c:pt idx="39">
                  <c:v>3.3356680057676704</c:v>
                </c:pt>
                <c:pt idx="40">
                  <c:v>2.4695929433449755</c:v>
                </c:pt>
                <c:pt idx="41">
                  <c:v>1.5499359689790073</c:v>
                </c:pt>
                <c:pt idx="42">
                  <c:v>0.59665056494353996</c:v>
                </c:pt>
                <c:pt idx="43">
                  <c:v>-0.36958016197109417</c:v>
                </c:pt>
                <c:pt idx="44">
                  <c:v>-1.3277922347394722</c:v>
                </c:pt>
                <c:pt idx="45">
                  <c:v>-2.2571956543277771</c:v>
                </c:pt>
                <c:pt idx="46">
                  <c:v>-3.1376254731796327</c:v>
                </c:pt>
                <c:pt idx="47">
                  <c:v>-3.9499793071741562</c:v>
                </c:pt>
                <c:pt idx="48">
                  <c:v>-4.676631793509296</c:v>
                </c:pt>
                <c:pt idx="49">
                  <c:v>-5.3018170021595754</c:v>
                </c:pt>
                <c:pt idx="50">
                  <c:v>-5.8119705038580536</c:v>
                </c:pt>
                <c:pt idx="51">
                  <c:v>-6.1960236728705889</c:v>
                </c:pt>
                <c:pt idx="52">
                  <c:v>-6.445643839175986</c:v>
                </c:pt>
                <c:pt idx="53">
                  <c:v>-6.55541507955245</c:v>
                </c:pt>
                <c:pt idx="54">
                  <c:v>-6.5229557250080878</c:v>
                </c:pt>
                <c:pt idx="55">
                  <c:v>-6.3489700350370102</c:v>
                </c:pt>
                <c:pt idx="56">
                  <c:v>-6.037232917542374</c:v>
                </c:pt>
                <c:pt idx="57">
                  <c:v>-5.5945080259530142</c:v>
                </c:pt>
                <c:pt idx="58">
                  <c:v>-5.0304010105523549</c:v>
                </c:pt>
                <c:pt idx="59">
                  <c:v>-4.3571511079754384</c:v>
                </c:pt>
                <c:pt idx="60">
                  <c:v>-3.5893655906850688</c:v>
                </c:pt>
                <c:pt idx="61">
                  <c:v>-2.7437028379860857</c:v>
                </c:pt>
                <c:pt idx="62">
                  <c:v>-1.8385109048771746</c:v>
                </c:pt>
                <c:pt idx="63">
                  <c:v>-0.89342943058805357</c:v>
                </c:pt>
                <c:pt idx="64">
                  <c:v>7.1036475943749067E-2</c:v>
                </c:pt>
                <c:pt idx="65">
                  <c:v>1.0339611283960051</c:v>
                </c:pt>
                <c:pt idx="66">
                  <c:v>1.9744522805081288</c:v>
                </c:pt>
                <c:pt idx="67">
                  <c:v>2.8721044179901454</c:v>
                </c:pt>
                <c:pt idx="68">
                  <c:v>3.7074414899746735</c:v>
                </c:pt>
                <c:pt idx="69">
                  <c:v>4.4623394742196592</c:v>
                </c:pt>
                <c:pt idx="70">
                  <c:v>5.1204196078091506</c:v>
                </c:pt>
                <c:pt idx="71">
                  <c:v>5.6674037515604647</c:v>
                </c:pt>
                <c:pt idx="72">
                  <c:v>6.0914241779180127</c:v>
                </c:pt>
                <c:pt idx="73">
                  <c:v>6.3832810609718242</c:v>
                </c:pt>
                <c:pt idx="74">
                  <c:v>6.5366420819282487</c:v>
                </c:pt>
                <c:pt idx="75">
                  <c:v>6.5481798192611693</c:v>
                </c:pt>
                <c:pt idx="76">
                  <c:v>6.4176439426368121</c:v>
                </c:pt>
                <c:pt idx="77">
                  <c:v>6.1478666442452212</c:v>
                </c:pt>
                <c:pt idx="78">
                  <c:v>5.7447011896966895</c:v>
                </c:pt>
                <c:pt idx="79">
                  <c:v>5.2168949217233154</c:v>
                </c:pt>
                <c:pt idx="80">
                  <c:v>4.5758994720807884</c:v>
                </c:pt>
                <c:pt idx="81">
                  <c:v>3.8356222994178504</c:v>
                </c:pt>
                <c:pt idx="82">
                  <c:v>3.0121249439110676</c:v>
                </c:pt>
                <c:pt idx="83">
                  <c:v>2.1232745455306516</c:v>
                </c:pt>
                <c:pt idx="84">
                  <c:v>1.1883561868264156</c:v>
                </c:pt>
                <c:pt idx="85">
                  <c:v>0.22765447109915254</c:v>
                </c:pt>
                <c:pt idx="86">
                  <c:v>-0.73798658568703768</c:v>
                </c:pt>
                <c:pt idx="87">
                  <c:v>-1.6876158003774953</c:v>
                </c:pt>
                <c:pt idx="88">
                  <c:v>-2.6006293932693807</c:v>
                </c:pt>
                <c:pt idx="89">
                  <c:v>-3.4572180212605739</c:v>
                </c:pt>
                <c:pt idx="90">
                  <c:v>-4.2387965743796627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774-441B-963B-0C3F3CA01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7664672"/>
        <c:axId val="417667296"/>
      </c:scatterChart>
      <c:valAx>
        <c:axId val="417664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17667296"/>
        <c:crosses val="autoZero"/>
        <c:crossBetween val="midCat"/>
      </c:valAx>
      <c:valAx>
        <c:axId val="417667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176646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Gyorsulás</a:t>
            </a:r>
            <a:r>
              <a:rPr lang="hu-HU" baseline="0"/>
              <a:t> - kitérés kapcsolat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'csillapitatlan szabad lengés'!$E$9</c:f>
              <c:strCache>
                <c:ptCount val="1"/>
                <c:pt idx="0">
                  <c:v>a2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'csillapitatlan szabad lengés'!$B$10:$B$100</c:f>
              <c:numCache>
                <c:formatCode>General</c:formatCode>
                <c:ptCount val="91"/>
                <c:pt idx="0">
                  <c:v>0.44500000000000001</c:v>
                </c:pt>
                <c:pt idx="1">
                  <c:v>0.4401724937344404</c:v>
                </c:pt>
                <c:pt idx="2">
                  <c:v>0.42579471568717292</c:v>
                </c:pt>
                <c:pt idx="3">
                  <c:v>0.40217861558227852</c:v>
                </c:pt>
                <c:pt idx="4">
                  <c:v>0.36983658385222662</c:v>
                </c:pt>
                <c:pt idx="5">
                  <c:v>0.32947033447822066</c:v>
                </c:pt>
                <c:pt idx="6">
                  <c:v>0.28195568014237371</c:v>
                </c:pt>
                <c:pt idx="7">
                  <c:v>0.2283235300200214</c:v>
                </c:pt>
                <c:pt idx="8">
                  <c:v>0.16973752249656204</c:v>
                </c:pt>
                <c:pt idx="9">
                  <c:v>0.10746877810410163</c:v>
                </c:pt>
                <c:pt idx="10">
                  <c:v>4.2868320454789173E-2</c:v>
                </c:pt>
                <c:pt idx="11">
                  <c:v>-2.2662236455599647E-2</c:v>
                </c:pt>
                <c:pt idx="12">
                  <c:v>-8.7701098586298681E-2</c:v>
                </c:pt>
                <c:pt idx="13">
                  <c:v>-0.15083714002970863</c:v>
                </c:pt>
                <c:pt idx="14">
                  <c:v>-0.2107005197267254</c:v>
                </c:pt>
                <c:pt idx="15">
                  <c:v>-0.26599240243885458</c:v>
                </c:pt>
                <c:pt idx="16">
                  <c:v>-0.31551313913136675</c:v>
                </c:pt>
                <c:pt idx="17">
                  <c:v>-0.35818829534737079</c:v>
                </c:pt>
                <c:pt idx="18">
                  <c:v>-0.39309196284409598</c:v>
                </c:pt>
                <c:pt idx="19">
                  <c:v>-0.41946684870679429</c:v>
                </c:pt>
                <c:pt idx="20">
                  <c:v>-0.43674070607364274</c:v>
                </c:pt>
                <c:pt idx="21">
                  <c:v>-0.4445387499798375</c:v>
                </c:pt>
                <c:pt idx="22">
                  <c:v>-0.44269178893856403</c:v>
                </c:pt>
                <c:pt idx="23">
                  <c:v>-0.43123989583071654</c:v>
                </c:pt>
                <c:pt idx="24">
                  <c:v>-0.41043153845733177</c:v>
                </c:pt>
                <c:pt idx="25">
                  <c:v>-0.38071818861884121</c:v>
                </c:pt>
                <c:pt idx="26">
                  <c:v>-0.34274452668610367</c:v>
                </c:pt>
                <c:pt idx="27">
                  <c:v>-0.29733445419128329</c:v>
                </c:pt>
                <c:pt idx="28">
                  <c:v>-0.24547321791859686</c:v>
                </c:pt>
                <c:pt idx="29">
                  <c:v>-0.18828603334240934</c:v>
                </c:pt>
                <c:pt idx="30">
                  <c:v>-0.1270136712126132</c:v>
                </c:pt>
                <c:pt idx="31">
                  <c:v>-6.2985536976791809E-2</c:v>
                </c:pt>
                <c:pt idx="32">
                  <c:v>2.4091728742884435E-3</c:v>
                </c:pt>
                <c:pt idx="33">
                  <c:v>6.7751611726962216E-2</c:v>
                </c:pt>
                <c:pt idx="34">
                  <c:v>0.13162406707350713</c:v>
                </c:pt>
                <c:pt idx="35">
                  <c:v>0.1926407201346777</c:v>
                </c:pt>
                <c:pt idx="36">
                  <c:v>0.24947771349494008</c:v>
                </c:pt>
                <c:pt idx="37">
                  <c:v>0.30090187438322802</c:v>
                </c:pt>
                <c:pt idx="38">
                  <c:v>0.34579747040003889</c:v>
                </c:pt>
                <c:pt idx="39">
                  <c:v>0.38319041718102564</c:v>
                </c:pt>
                <c:pt idx="40">
                  <c:v>0.41226941277170331</c:v>
                </c:pt>
                <c:pt idx="41">
                  <c:v>0.43240354016798088</c:v>
                </c:pt>
                <c:pt idx="42">
                  <c:v>0.44315595610623132</c:v>
                </c:pt>
                <c:pt idx="43">
                  <c:v>0.44429336910190698</c:v>
                </c:pt>
                <c:pt idx="44">
                  <c:v>0.43579110109494879</c:v>
                </c:pt>
                <c:pt idx="45">
                  <c:v>0.41783362288119963</c:v>
                </c:pt>
                <c:pt idx="46">
                  <c:v>0.39081055171275153</c:v>
                </c:pt>
                <c:pt idx="47">
                  <c:v>0.35530819790592133</c:v>
                </c:pt>
                <c:pt idx="48">
                  <c:v>0.31209684386720093</c:v>
                </c:pt>
                <c:pt idx="49">
                  <c:v>0.26211403153980511</c:v>
                </c:pt>
                <c:pt idx="50">
                  <c:v>0.20644422087735534</c:v>
                </c:pt>
                <c:pt idx="51">
                  <c:v>0.14629526068783141</c:v>
                </c:pt>
                <c:pt idx="52">
                  <c:v>8.2972182351825768E-2</c:v>
                </c:pt>
                <c:pt idx="53">
                  <c:v>1.7848885003817452E-2</c:v>
                </c:pt>
                <c:pt idx="54">
                  <c:v>-4.7661673486614153E-2</c:v>
                </c:pt>
                <c:pt idx="55">
                  <c:v>-0.11213813297756851</c:v>
                </c:pt>
                <c:pt idx="56">
                  <c:v>-0.17418156981882721</c:v>
                </c:pt>
                <c:pt idx="57">
                  <c:v>-0.23244584881898159</c:v>
                </c:pt>
                <c:pt idx="58">
                  <c:v>-0.28566682987946573</c:v>
                </c:pt>
                <c:pt idx="59">
                  <c:v>-0.3326897956091372</c:v>
                </c:pt>
                <c:pt idx="60">
                  <c:v>-0.37249450483188401</c:v>
                </c:pt>
                <c:pt idx="61">
                  <c:v>-0.40421732840985575</c:v>
                </c:pt>
                <c:pt idx="62">
                  <c:v>-0.4271699871089672</c:v>
                </c:pt>
                <c:pt idx="63">
                  <c:v>-0.44085448495761786</c:v>
                </c:pt>
                <c:pt idx="64">
                  <c:v>-0.44497391409465975</c:v>
                </c:pt>
                <c:pt idx="65">
                  <c:v>-0.43943889667753283</c:v>
                </c:pt>
                <c:pt idx="66">
                  <c:v>-0.42436952408269196</c:v>
                </c:pt>
                <c:pt idx="67">
                  <c:v>-0.40009275132415756</c:v>
                </c:pt>
                <c:pt idx="68">
                  <c:v>-0.36713530322260179</c:v>
                </c:pt>
                <c:pt idx="69">
                  <c:v>-0.3262122462373821</c:v>
                </c:pt>
                <c:pt idx="70">
                  <c:v>-0.27821147391457429</c:v>
                </c:pt>
                <c:pt idx="71">
                  <c:v>-0.22417444256492142</c:v>
                </c:pt>
                <c:pt idx="72">
                  <c:v>-0.16527357514308583</c:v>
                </c:pt>
                <c:pt idx="73">
                  <c:v>-0.10278682358851085</c:v>
                </c:pt>
                <c:pt idx="74">
                  <c:v>-3.8069941540045192E-2</c:v>
                </c:pt>
                <c:pt idx="75">
                  <c:v>2.7472930986235673E-2</c:v>
                </c:pt>
                <c:pt idx="76">
                  <c:v>9.2419732741868599E-2</c:v>
                </c:pt>
                <c:pt idx="77">
                  <c:v>0.15536133522166834</c:v>
                </c:pt>
                <c:pt idx="78">
                  <c:v>0.21493211604210563</c:v>
                </c:pt>
                <c:pt idx="79">
                  <c:v>0.26983958838225797</c:v>
                </c:pt>
                <c:pt idx="80">
                  <c:v>0.31889244362752833</c:v>
                </c:pt>
                <c:pt idx="81">
                  <c:v>0.36102639878447723</c:v>
                </c:pt>
                <c:pt idx="82">
                  <c:v>0.39532728786428162</c:v>
                </c:pt>
                <c:pt idx="83">
                  <c:v>0.4210508962289789</c:v>
                </c:pt>
                <c:pt idx="84">
                  <c:v>0.43763910756147428</c:v>
                </c:pt>
                <c:pt idx="85">
                  <c:v>0.44473201312405097</c:v>
                </c:pt>
                <c:pt idx="86">
                  <c:v>0.44217572057493643</c:v>
                </c:pt>
                <c:pt idx="87">
                  <c:v>0.43002569291771464</c:v>
                </c:pt>
                <c:pt idx="88">
                  <c:v>0.40854554513954089</c:v>
                </c:pt>
                <c:pt idx="89">
                  <c:v>0.37820132464708539</c:v>
                </c:pt>
                <c:pt idx="90">
                  <c:v>0.33965139959563379</c:v>
                </c:pt>
              </c:numCache>
            </c:numRef>
          </c:xVal>
          <c:yVal>
            <c:numRef>
              <c:f>'csillapitatlan szabad lengés'!$E$10:$E$100</c:f>
              <c:numCache>
                <c:formatCode>General</c:formatCode>
                <c:ptCount val="91"/>
                <c:pt idx="0">
                  <c:v>-96.725200000000015</c:v>
                </c:pt>
                <c:pt idx="1">
                  <c:v>-95.675893238117979</c:v>
                </c:pt>
                <c:pt idx="2">
                  <c:v>-92.55073940176392</c:v>
                </c:pt>
                <c:pt idx="3">
                  <c:v>-87.417543882964068</c:v>
                </c:pt>
                <c:pt idx="4">
                  <c:v>-80.387679866119981</c:v>
                </c:pt>
                <c:pt idx="5">
                  <c:v>-71.613671902186056</c:v>
                </c:pt>
                <c:pt idx="6">
                  <c:v>-61.285886635746365</c:v>
                </c:pt>
                <c:pt idx="7">
                  <c:v>-49.628402485151859</c:v>
                </c:pt>
                <c:pt idx="8">
                  <c:v>-36.894147889852732</c:v>
                </c:pt>
                <c:pt idx="9">
                  <c:v>-23.359413608707534</c:v>
                </c:pt>
                <c:pt idx="10">
                  <c:v>-9.317858134052976</c:v>
                </c:pt>
                <c:pt idx="11">
                  <c:v>4.9258637159891396</c:v>
                </c:pt>
                <c:pt idx="12">
                  <c:v>19.062710788717883</c:v>
                </c:pt>
                <c:pt idx="13">
                  <c:v>32.78596075685747</c:v>
                </c:pt>
                <c:pt idx="14">
                  <c:v>45.79786496780104</c:v>
                </c:pt>
                <c:pt idx="15">
                  <c:v>57.816108594109444</c:v>
                </c:pt>
                <c:pt idx="16">
                  <c:v>68.579935921593886</c:v>
                </c:pt>
                <c:pt idx="17">
                  <c:v>77.855807876704532</c:v>
                </c:pt>
                <c:pt idx="18">
                  <c:v>85.442469043792713</c:v>
                </c:pt>
                <c:pt idx="19">
                  <c:v>91.175314234908811</c:v>
                </c:pt>
                <c:pt idx="20">
                  <c:v>94.929959872167004</c:v>
                </c:pt>
                <c:pt idx="21">
                  <c:v>96.624942695617491</c:v>
                </c:pt>
                <c:pt idx="22">
                  <c:v>96.223487243686293</c:v>
                </c:pt>
                <c:pt idx="23">
                  <c:v>93.734303757764565</c:v>
                </c:pt>
                <c:pt idx="24">
                  <c:v>89.211399199085648</c:v>
                </c:pt>
                <c:pt idx="25">
                  <c:v>82.752905478191337</c:v>
                </c:pt>
                <c:pt idx="26">
                  <c:v>74.498950320491502</c:v>
                </c:pt>
                <c:pt idx="27">
                  <c:v>64.62861696301735</c:v>
                </c:pt>
                <c:pt idx="28">
                  <c:v>53.356058646786224</c:v>
                </c:pt>
                <c:pt idx="29">
                  <c:v>40.9258522073061</c:v>
                </c:pt>
                <c:pt idx="30">
                  <c:v>27.607691574773611</c:v>
                </c:pt>
                <c:pt idx="31">
                  <c:v>13.69053631727547</c:v>
                </c:pt>
                <c:pt idx="32">
                  <c:v>-0.52365781595533623</c:v>
                </c:pt>
                <c:pt idx="33">
                  <c:v>-14.726490324972509</c:v>
                </c:pt>
                <c:pt idx="34">
                  <c:v>-28.609807219097515</c:v>
                </c:pt>
                <c:pt idx="35">
                  <c:v>-41.872386928473553</c:v>
                </c:pt>
                <c:pt idx="36">
                  <c:v>-54.226475805260186</c:v>
                </c:pt>
                <c:pt idx="37">
                  <c:v>-65.404031415938448</c:v>
                </c:pt>
                <c:pt idx="38">
                  <c:v>-75.162538166152459</c:v>
                </c:pt>
                <c:pt idx="39">
                  <c:v>-83.290269078467745</c:v>
                </c:pt>
                <c:pt idx="40">
                  <c:v>-89.610879560057441</c:v>
                </c:pt>
                <c:pt idx="41">
                  <c:v>-93.987233490912345</c:v>
                </c:pt>
                <c:pt idx="42">
                  <c:v>-96.324378619250453</c:v>
                </c:pt>
                <c:pt idx="43">
                  <c:v>-96.571606707990526</c:v>
                </c:pt>
                <c:pt idx="44">
                  <c:v>-94.723553733998088</c:v>
                </c:pt>
                <c:pt idx="45">
                  <c:v>-90.820316269457564</c:v>
                </c:pt>
                <c:pt idx="46">
                  <c:v>-84.946581520283686</c:v>
                </c:pt>
                <c:pt idx="47">
                  <c:v>-77.229789896831065</c:v>
                </c:pt>
                <c:pt idx="48">
                  <c:v>-67.837369982974806</c:v>
                </c:pt>
                <c:pt idx="49">
                  <c:v>-56.973105895492054</c:v>
                </c:pt>
                <c:pt idx="50">
                  <c:v>-44.872715849901965</c:v>
                </c:pt>
                <c:pt idx="51">
                  <c:v>-31.798737863107043</c:v>
                </c:pt>
                <c:pt idx="52">
                  <c:v>-18.034833555992851</c:v>
                </c:pt>
                <c:pt idx="53">
                  <c:v>-3.8796336444297621</c:v>
                </c:pt>
                <c:pt idx="54">
                  <c:v>10.359741349050454</c:v>
                </c:pt>
                <c:pt idx="55">
                  <c:v>24.374344584004294</c:v>
                </c:pt>
                <c:pt idx="56">
                  <c:v>37.860106015820286</c:v>
                </c:pt>
                <c:pt idx="57">
                  <c:v>50.524429699293847</c:v>
                </c:pt>
                <c:pt idx="58">
                  <c:v>62.092542142600678</c:v>
                </c:pt>
                <c:pt idx="59">
                  <c:v>72.313453973602066</c:v>
                </c:pt>
                <c:pt idx="60">
                  <c:v>80.965405570258312</c:v>
                </c:pt>
                <c:pt idx="61">
                  <c:v>87.860678503166255</c:v>
                </c:pt>
                <c:pt idx="62">
                  <c:v>92.849668398005122</c:v>
                </c:pt>
                <c:pt idx="63">
                  <c:v>95.824130850387846</c:v>
                </c:pt>
                <c:pt idx="64">
                  <c:v>96.719529967615259</c:v>
                </c:pt>
                <c:pt idx="65">
                  <c:v>95.516438581828552</c:v>
                </c:pt>
                <c:pt idx="66">
                  <c:v>92.240959754613939</c:v>
                </c:pt>
                <c:pt idx="67">
                  <c:v>86.964160427818911</c:v>
                </c:pt>
                <c:pt idx="68">
                  <c:v>79.800529508464749</c:v>
                </c:pt>
                <c:pt idx="69">
                  <c:v>70.905493842157384</c:v>
                </c:pt>
                <c:pt idx="70">
                  <c:v>60.472045970071882</c:v>
                </c:pt>
                <c:pt idx="71">
                  <c:v>48.726556835911332</c:v>
                </c:pt>
                <c:pt idx="72">
                  <c:v>35.92386429310114</c:v>
                </c:pt>
                <c:pt idx="73">
                  <c:v>22.341743975198721</c:v>
                </c:pt>
                <c:pt idx="74">
                  <c:v>8.274882493144224</c:v>
                </c:pt>
                <c:pt idx="75">
                  <c:v>-5.9715162791681866</c:v>
                </c:pt>
                <c:pt idx="76">
                  <c:v>-20.088353108772559</c:v>
                </c:pt>
                <c:pt idx="77">
                  <c:v>-33.769339823781834</c:v>
                </c:pt>
                <c:pt idx="78">
                  <c:v>-46.717644742912093</c:v>
                </c:pt>
                <c:pt idx="79">
                  <c:v>-58.652332930767606</c:v>
                </c:pt>
                <c:pt idx="80">
                  <c:v>-69.314461546879571</c:v>
                </c:pt>
                <c:pt idx="81">
                  <c:v>-78.472698039793983</c:v>
                </c:pt>
                <c:pt idx="82">
                  <c:v>-85.928339290180276</c:v>
                </c:pt>
                <c:pt idx="83">
                  <c:v>-91.519622804330865</c:v>
                </c:pt>
                <c:pt idx="84">
                  <c:v>-95.125236419562057</c:v>
                </c:pt>
                <c:pt idx="85">
                  <c:v>-96.666950372643726</c:v>
                </c:pt>
                <c:pt idx="86">
                  <c:v>-96.111314624168187</c:v>
                </c:pt>
                <c:pt idx="87">
                  <c:v>-93.470384612594472</c:v>
                </c:pt>
                <c:pt idx="88">
                  <c:v>-88.801459691530624</c:v>
                </c:pt>
                <c:pt idx="89">
                  <c:v>-82.205839925290505</c:v>
                </c:pt>
                <c:pt idx="90">
                  <c:v>-73.826628216106968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546-4FD1-AAB5-F0679C031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5627520"/>
        <c:axId val="225628176"/>
      </c:scatterChart>
      <c:valAx>
        <c:axId val="2256275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25628176"/>
        <c:crosses val="autoZero"/>
        <c:crossBetween val="midCat"/>
      </c:valAx>
      <c:valAx>
        <c:axId val="225628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256275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y=e-Dt(Acos(t)+Bsin(t)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>
        <c:manualLayout>
          <c:layoutTarget val="inner"/>
          <c:xMode val="edge"/>
          <c:yMode val="edge"/>
          <c:x val="0.15401137357830272"/>
          <c:y val="0.19721055701370663"/>
          <c:w val="0.8311130796150481"/>
          <c:h val="0.77736111111111106"/>
        </c:manualLayout>
      </c:layout>
      <c:lineChart>
        <c:grouping val="standard"/>
        <c:varyColors val="0"/>
        <c:ser>
          <c:idx val="0"/>
          <c:order val="0"/>
          <c:tx>
            <c:strRef>
              <c:f>'Csillapitott szabad rezgés'!$D$10</c:f>
              <c:strCache>
                <c:ptCount val="1"/>
                <c:pt idx="0">
                  <c:v>y2 (A,B)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'Csillapitott szabad rezgés'!$A$11:$A$61</c:f>
              <c:numCache>
                <c:formatCode>General</c:formatCode>
                <c:ptCount val="5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  <c:pt idx="21">
                  <c:v>1.05</c:v>
                </c:pt>
                <c:pt idx="22">
                  <c:v>1.1000000000000001</c:v>
                </c:pt>
                <c:pt idx="23">
                  <c:v>1.1499999999999999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</c:v>
                </c:pt>
                <c:pt idx="41">
                  <c:v>2.0499999999999998</c:v>
                </c:pt>
                <c:pt idx="42">
                  <c:v>2.1</c:v>
                </c:pt>
                <c:pt idx="43">
                  <c:v>2.15</c:v>
                </c:pt>
                <c:pt idx="44">
                  <c:v>2.2000000000000002</c:v>
                </c:pt>
                <c:pt idx="45">
                  <c:v>2.25</c:v>
                </c:pt>
                <c:pt idx="46">
                  <c:v>2.2999999999999998</c:v>
                </c:pt>
                <c:pt idx="47">
                  <c:v>2.35</c:v>
                </c:pt>
                <c:pt idx="48">
                  <c:v>2.4</c:v>
                </c:pt>
                <c:pt idx="49">
                  <c:v>2.4500000000000002</c:v>
                </c:pt>
                <c:pt idx="50">
                  <c:v>2.5</c:v>
                </c:pt>
              </c:numCache>
            </c:numRef>
          </c:cat>
          <c:val>
            <c:numRef>
              <c:f>'Csillapitott szabad rezgés'!$D$11:$D$61</c:f>
              <c:numCache>
                <c:formatCode>0.00E+00</c:formatCode>
                <c:ptCount val="51"/>
                <c:pt idx="0">
                  <c:v>0.44590000000000002</c:v>
                </c:pt>
                <c:pt idx="1">
                  <c:v>0.36591778565293009</c:v>
                </c:pt>
                <c:pt idx="2">
                  <c:v>0.23402964449739225</c:v>
                </c:pt>
                <c:pt idx="3">
                  <c:v>0.1264314659896722</c:v>
                </c:pt>
                <c:pt idx="4">
                  <c:v>5.7837069219497828E-2</c:v>
                </c:pt>
                <c:pt idx="5">
                  <c:v>2.0879811520345799E-2</c:v>
                </c:pt>
                <c:pt idx="6">
                  <c:v>4.0267068420487629E-3</c:v>
                </c:pt>
                <c:pt idx="7">
                  <c:v>-2.0239086315120341E-3</c:v>
                </c:pt>
                <c:pt idx="8">
                  <c:v>-3.1640296403651087E-3</c:v>
                </c:pt>
                <c:pt idx="9">
                  <c:v>-2.551040363499746E-3</c:v>
                </c:pt>
                <c:pt idx="10">
                  <c:v>-1.6156189544632494E-3</c:v>
                </c:pt>
                <c:pt idx="11">
                  <c:v>-8.6563749106346956E-4</c:v>
                </c:pt>
                <c:pt idx="12">
                  <c:v>-3.9216602982668967E-4</c:v>
                </c:pt>
                <c:pt idx="13">
                  <c:v>-1.3916756796683032E-4</c:v>
                </c:pt>
                <c:pt idx="14">
                  <c:v>-2.4917580035182607E-5</c:v>
                </c:pt>
                <c:pt idx="15">
                  <c:v>1.5392471556357528E-5</c:v>
                </c:pt>
                <c:pt idx="16">
                  <c:v>2.2420231460634783E-5</c:v>
                </c:pt>
                <c:pt idx="17">
                  <c:v>1.7773948504181594E-5</c:v>
                </c:pt>
                <c:pt idx="18">
                  <c:v>1.1148467826311643E-5</c:v>
                </c:pt>
                <c:pt idx="19">
                  <c:v>5.9241294619917915E-6</c:v>
                </c:pt>
                <c:pt idx="20">
                  <c:v>2.6574415224309388E-6</c:v>
                </c:pt>
                <c:pt idx="21">
                  <c:v>9.2625810769553539E-7</c:v>
                </c:pt>
                <c:pt idx="22">
                  <c:v>1.5222425478519607E-7</c:v>
                </c:pt>
                <c:pt idx="23">
                  <c:v>-1.1593741009923681E-7</c:v>
                </c:pt>
                <c:pt idx="24">
                  <c:v>-1.5866155232783511E-7</c:v>
                </c:pt>
                <c:pt idx="25">
                  <c:v>-1.2376287515449745E-7</c:v>
                </c:pt>
                <c:pt idx="26">
                  <c:v>-7.6895525984836168E-8</c:v>
                </c:pt>
                <c:pt idx="27">
                  <c:v>-4.0524616107878616E-8</c:v>
                </c:pt>
                <c:pt idx="28">
                  <c:v>-1.7996152570531611E-8</c:v>
                </c:pt>
                <c:pt idx="29">
                  <c:v>-6.1555564165091096E-9</c:v>
                </c:pt>
                <c:pt idx="30">
                  <c:v>-9.1492929530304736E-10</c:v>
                </c:pt>
                <c:pt idx="31">
                  <c:v>8.6624672279022181E-10</c:v>
                </c:pt>
                <c:pt idx="32">
                  <c:v>1.1214178032059452E-9</c:v>
                </c:pt>
                <c:pt idx="33">
                  <c:v>8.6127801891454911E-10</c:v>
                </c:pt>
                <c:pt idx="34">
                  <c:v>5.3014892816665846E-10</c:v>
                </c:pt>
                <c:pt idx="35">
                  <c:v>2.7708770761622942E-10</c:v>
                </c:pt>
                <c:pt idx="36">
                  <c:v>1.2178936904843113E-10</c:v>
                </c:pt>
                <c:pt idx="37">
                  <c:v>4.084113634369761E-11</c:v>
                </c:pt>
                <c:pt idx="38">
                  <c:v>5.3828754261912483E-12</c:v>
                </c:pt>
                <c:pt idx="39">
                  <c:v>-6.4283763281513623E-12</c:v>
                </c:pt>
                <c:pt idx="40">
                  <c:v>-7.9169217512842936E-12</c:v>
                </c:pt>
                <c:pt idx="41">
                  <c:v>-5.9903058551438612E-12</c:v>
                </c:pt>
                <c:pt idx="42">
                  <c:v>-3.6534801023127356E-12</c:v>
                </c:pt>
                <c:pt idx="43">
                  <c:v>-1.8937275178273845E-12</c:v>
                </c:pt>
                <c:pt idx="44">
                  <c:v>-8.2365202879185327E-13</c:v>
                </c:pt>
                <c:pt idx="45">
                  <c:v>-2.705027853914883E-13</c:v>
                </c:pt>
                <c:pt idx="46">
                  <c:v>-3.0755797450942131E-14</c:v>
                </c:pt>
                <c:pt idx="47">
                  <c:v>4.7426803262706472E-14</c:v>
                </c:pt>
                <c:pt idx="48">
                  <c:v>5.5829629044113769E-14</c:v>
                </c:pt>
                <c:pt idx="49">
                  <c:v>4.1640220984499967E-14</c:v>
                </c:pt>
                <c:pt idx="50">
                  <c:v>2.5166834552354099E-14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D5-4C79-B54E-6DECBA665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7832456"/>
        <c:axId val="397833112"/>
      </c:lineChart>
      <c:catAx>
        <c:axId val="397832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97833112"/>
        <c:crosses val="autoZero"/>
        <c:auto val="1"/>
        <c:lblAlgn val="ctr"/>
        <c:lblOffset val="100"/>
        <c:noMultiLvlLbl val="0"/>
      </c:catAx>
      <c:valAx>
        <c:axId val="397833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97832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y=e-Dat(Acos(gt)+Bsin(gt)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>
        <c:manualLayout>
          <c:layoutTarget val="inner"/>
          <c:xMode val="edge"/>
          <c:yMode val="edge"/>
          <c:x val="9.3136701662292209E-2"/>
          <c:y val="0.17634259259259263"/>
          <c:w val="0.87630774278215218"/>
          <c:h val="0.6714577865266842"/>
        </c:manualLayout>
      </c:layout>
      <c:lineChart>
        <c:grouping val="standard"/>
        <c:varyColors val="0"/>
        <c:ser>
          <c:idx val="0"/>
          <c:order val="0"/>
          <c:tx>
            <c:strRef>
              <c:f>'Csillapitott szabad rezgés'!$B$10</c:f>
              <c:strCache>
                <c:ptCount val="1"/>
                <c:pt idx="0">
                  <c:v>eDalfat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'Csillapitott szabad rezgés'!$A$11:$A$242</c:f>
              <c:numCache>
                <c:formatCode>General</c:formatCode>
                <c:ptCount val="232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  <c:pt idx="21">
                  <c:v>1.05</c:v>
                </c:pt>
                <c:pt idx="22">
                  <c:v>1.1000000000000001</c:v>
                </c:pt>
                <c:pt idx="23">
                  <c:v>1.1499999999999999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</c:v>
                </c:pt>
                <c:pt idx="41">
                  <c:v>2.0499999999999998</c:v>
                </c:pt>
                <c:pt idx="42">
                  <c:v>2.1</c:v>
                </c:pt>
                <c:pt idx="43">
                  <c:v>2.15</c:v>
                </c:pt>
                <c:pt idx="44">
                  <c:v>2.2000000000000002</c:v>
                </c:pt>
                <c:pt idx="45">
                  <c:v>2.25</c:v>
                </c:pt>
                <c:pt idx="46">
                  <c:v>2.2999999999999998</c:v>
                </c:pt>
                <c:pt idx="47">
                  <c:v>2.35</c:v>
                </c:pt>
                <c:pt idx="48">
                  <c:v>2.4</c:v>
                </c:pt>
                <c:pt idx="49">
                  <c:v>2.4500000000000002</c:v>
                </c:pt>
                <c:pt idx="50">
                  <c:v>2.5</c:v>
                </c:pt>
                <c:pt idx="51">
                  <c:v>2.5499999999999998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</c:v>
                </c:pt>
                <c:pt idx="81">
                  <c:v>4.05</c:v>
                </c:pt>
                <c:pt idx="82">
                  <c:v>4.0999999999999996</c:v>
                </c:pt>
                <c:pt idx="83">
                  <c:v>4.1500000000000004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4.3499999999999996</c:v>
                </c:pt>
                <c:pt idx="88">
                  <c:v>4.4000000000000004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4.5999999999999996</c:v>
                </c:pt>
                <c:pt idx="93">
                  <c:v>4.6500000000000004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4.8499999999999996</c:v>
                </c:pt>
                <c:pt idx="98">
                  <c:v>4.9000000000000004</c:v>
                </c:pt>
                <c:pt idx="99">
                  <c:v>4.95</c:v>
                </c:pt>
                <c:pt idx="100">
                  <c:v>5</c:v>
                </c:pt>
                <c:pt idx="101">
                  <c:v>5.05</c:v>
                </c:pt>
                <c:pt idx="102">
                  <c:v>5.0999999999999996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</c:v>
                </c:pt>
                <c:pt idx="161">
                  <c:v>8.0500000000000007</c:v>
                </c:pt>
                <c:pt idx="162">
                  <c:v>8.1</c:v>
                </c:pt>
                <c:pt idx="163">
                  <c:v>8.15</c:v>
                </c:pt>
                <c:pt idx="164">
                  <c:v>8.1999999999999993</c:v>
                </c:pt>
                <c:pt idx="165">
                  <c:v>8.25</c:v>
                </c:pt>
                <c:pt idx="166">
                  <c:v>8.3000000000000007</c:v>
                </c:pt>
                <c:pt idx="167">
                  <c:v>8.35</c:v>
                </c:pt>
                <c:pt idx="168">
                  <c:v>8.4</c:v>
                </c:pt>
                <c:pt idx="169">
                  <c:v>8.4499999999999993</c:v>
                </c:pt>
                <c:pt idx="170">
                  <c:v>8.5</c:v>
                </c:pt>
                <c:pt idx="171">
                  <c:v>8.5500000000000007</c:v>
                </c:pt>
                <c:pt idx="172">
                  <c:v>8.6</c:v>
                </c:pt>
                <c:pt idx="173">
                  <c:v>8.65</c:v>
                </c:pt>
                <c:pt idx="174">
                  <c:v>8.6999999999999993</c:v>
                </c:pt>
                <c:pt idx="175">
                  <c:v>8.75</c:v>
                </c:pt>
                <c:pt idx="176">
                  <c:v>8.8000000000000007</c:v>
                </c:pt>
                <c:pt idx="177">
                  <c:v>8.85</c:v>
                </c:pt>
                <c:pt idx="178">
                  <c:v>8.9</c:v>
                </c:pt>
                <c:pt idx="179">
                  <c:v>8.9499999999999993</c:v>
                </c:pt>
                <c:pt idx="180">
                  <c:v>9</c:v>
                </c:pt>
                <c:pt idx="181">
                  <c:v>9.0500000000000007</c:v>
                </c:pt>
                <c:pt idx="182">
                  <c:v>9.1</c:v>
                </c:pt>
                <c:pt idx="183">
                  <c:v>9.15</c:v>
                </c:pt>
                <c:pt idx="184">
                  <c:v>9.1999999999999993</c:v>
                </c:pt>
                <c:pt idx="185">
                  <c:v>9.25</c:v>
                </c:pt>
                <c:pt idx="186">
                  <c:v>9.3000000000000007</c:v>
                </c:pt>
                <c:pt idx="187">
                  <c:v>9.35</c:v>
                </c:pt>
                <c:pt idx="188">
                  <c:v>9.4</c:v>
                </c:pt>
                <c:pt idx="189">
                  <c:v>9.4499999999999993</c:v>
                </c:pt>
                <c:pt idx="190">
                  <c:v>9.5</c:v>
                </c:pt>
                <c:pt idx="191">
                  <c:v>9.5500000000000007</c:v>
                </c:pt>
                <c:pt idx="192">
                  <c:v>9.6</c:v>
                </c:pt>
                <c:pt idx="193">
                  <c:v>9.65</c:v>
                </c:pt>
                <c:pt idx="194">
                  <c:v>9.6999999999999993</c:v>
                </c:pt>
                <c:pt idx="195">
                  <c:v>9.75</c:v>
                </c:pt>
                <c:pt idx="196">
                  <c:v>9.8000000000000007</c:v>
                </c:pt>
                <c:pt idx="197">
                  <c:v>9.85</c:v>
                </c:pt>
                <c:pt idx="198">
                  <c:v>9.9</c:v>
                </c:pt>
                <c:pt idx="199">
                  <c:v>9.9499999999999993</c:v>
                </c:pt>
                <c:pt idx="200">
                  <c:v>10</c:v>
                </c:pt>
                <c:pt idx="201">
                  <c:v>10.050000000000001</c:v>
                </c:pt>
                <c:pt idx="202">
                  <c:v>10.1</c:v>
                </c:pt>
                <c:pt idx="203">
                  <c:v>10.15</c:v>
                </c:pt>
                <c:pt idx="204">
                  <c:v>10.199999999999999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</c:numCache>
            </c:numRef>
          </c:cat>
          <c:val>
            <c:numRef>
              <c:f>'Csillapitott szabad rezgés'!$B$11:$B$242</c:f>
              <c:numCache>
                <c:formatCode>General</c:formatCode>
                <c:ptCount val="232"/>
                <c:pt idx="0">
                  <c:v>0.83183230076684567</c:v>
                </c:pt>
                <c:pt idx="1">
                  <c:v>0.44636225752012121</c:v>
                </c:pt>
                <c:pt idx="2">
                  <c:v>0.23951854809531353</c:v>
                </c:pt>
                <c:pt idx="3">
                  <c:v>0.12852595378564449</c:v>
                </c:pt>
                <c:pt idx="4">
                  <c:v>6.8967188252728143E-2</c:v>
                </c:pt>
                <c:pt idx="5">
                  <c:v>3.7007879851411879E-2</c:v>
                </c:pt>
                <c:pt idx="6">
                  <c:v>1.9858474816716352E-2</c:v>
                </c:pt>
                <c:pt idx="7">
                  <c:v>1.0656082532409981E-2</c:v>
                </c:pt>
                <c:pt idx="8">
                  <c:v>5.7180672728173315E-3</c:v>
                </c:pt>
                <c:pt idx="9">
                  <c:v>3.0683220814985653E-3</c:v>
                </c:pt>
                <c:pt idx="10">
                  <c:v>1.6464654832878609E-3</c:v>
                </c:pt>
                <c:pt idx="11">
                  <c:v>8.8349544658439206E-4</c:v>
                </c:pt>
                <c:pt idx="12">
                  <c:v>4.7408476646387457E-4</c:v>
                </c:pt>
                <c:pt idx="13">
                  <c:v>2.5439448121891049E-4</c:v>
                </c:pt>
                <c:pt idx="14">
                  <c:v>1.3650839818657228E-4</c:v>
                </c:pt>
                <c:pt idx="15">
                  <c:v>7.325057794562932E-5</c:v>
                </c:pt>
                <c:pt idx="16">
                  <c:v>3.9306352141318308E-5</c:v>
                </c:pt>
                <c:pt idx="17">
                  <c:v>2.1091837934768259E-5</c:v>
                </c:pt>
                <c:pt idx="18">
                  <c:v>1.1317906730879048E-5</c:v>
                </c:pt>
                <c:pt idx="19">
                  <c:v>6.0732029690842076E-6</c:v>
                </c:pt>
                <c:pt idx="20">
                  <c:v>3.2588883422286732E-6</c:v>
                </c:pt>
                <c:pt idx="21">
                  <c:v>1.7487235781805951E-6</c:v>
                </c:pt>
                <c:pt idx="22">
                  <c:v>9.3836726875810364E-7</c:v>
                </c:pt>
                <c:pt idx="23">
                  <c:v>5.035290551710119E-7</c:v>
                </c:pt>
                <c:pt idx="24">
                  <c:v>2.7019432352639966E-7</c:v>
                </c:pt>
                <c:pt idx="25">
                  <c:v>1.4498661341616949E-7</c:v>
                </c:pt>
                <c:pt idx="26">
                  <c:v>7.779999888797058E-8</c:v>
                </c:pt>
                <c:pt idx="27">
                  <c:v>4.1747577133856721E-8</c:v>
                </c:pt>
                <c:pt idx="28">
                  <c:v>2.2401802332375223E-8</c:v>
                </c:pt>
                <c:pt idx="29">
                  <c:v>1.2020835272182114E-8</c:v>
                </c:pt>
                <c:pt idx="30">
                  <c:v>6.4503953073501227E-9</c:v>
                </c:pt>
                <c:pt idx="31">
                  <c:v>3.4612902247625096E-9</c:v>
                </c:pt>
                <c:pt idx="32">
                  <c:v>1.8573326826008448E-9</c:v>
                </c:pt>
                <c:pt idx="33">
                  <c:v>9.9664705062227759E-10</c:v>
                </c:pt>
                <c:pt idx="34">
                  <c:v>5.348020593290484E-10</c:v>
                </c:pt>
                <c:pt idx="35">
                  <c:v>2.8697545684203206E-10</c:v>
                </c:pt>
                <c:pt idx="36">
                  <c:v>1.539913906334121E-10</c:v>
                </c:pt>
                <c:pt idx="37">
                  <c:v>8.2631973654337306E-11</c:v>
                </c:pt>
                <c:pt idx="38">
                  <c:v>4.4340420863304982E-11</c:v>
                </c:pt>
                <c:pt idx="39">
                  <c:v>2.3793125534667825E-11</c:v>
                </c:pt>
                <c:pt idx="40">
                  <c:v>1.2767421050280578E-11</c:v>
                </c:pt>
                <c:pt idx="41">
                  <c:v>6.8510141737216658E-12</c:v>
                </c:pt>
                <c:pt idx="42">
                  <c:v>3.6762628117056985E-12</c:v>
                </c:pt>
                <c:pt idx="43">
                  <c:v>1.9726872427981934E-12</c:v>
                </c:pt>
                <c:pt idx="44">
                  <c:v>1.0585464525299167E-12</c:v>
                </c:pt>
                <c:pt idx="45">
                  <c:v>5.6801735614929654E-13</c:v>
                </c:pt>
                <c:pt idx="46">
                  <c:v>3.047988268400714E-13</c:v>
                </c:pt>
                <c:pt idx="47">
                  <c:v>1.6355543336366742E-13</c:v>
                </c:pt>
                <c:pt idx="48">
                  <c:v>8.7764050997523462E-14</c:v>
                </c:pt>
                <c:pt idx="49">
                  <c:v>4.7094300012456038E-14</c:v>
                </c:pt>
                <c:pt idx="50">
                  <c:v>2.5270860545462021E-14</c:v>
                </c:pt>
                <c:pt idx="51">
                  <c:v>1.3560375513369619E-14</c:v>
                </c:pt>
                <c:pt idx="52">
                  <c:v>7.2765145347064068E-15</c:v>
                </c:pt>
                <c:pt idx="53">
                  <c:v>3.9045868399138907E-15</c:v>
                </c:pt>
                <c:pt idx="54">
                  <c:v>2.0952062031501021E-15</c:v>
                </c:pt>
                <c:pt idx="55">
                  <c:v>1.1242902805602631E-15</c:v>
                </c:pt>
                <c:pt idx="56">
                  <c:v>6.0329557685626945E-16</c:v>
                </c:pt>
                <c:pt idx="57">
                  <c:v>3.2372916438711916E-16</c:v>
                </c:pt>
                <c:pt idx="58">
                  <c:v>1.7371347627127033E-16</c:v>
                </c:pt>
                <c:pt idx="59">
                  <c:v>9.3214869582042758E-17</c:v>
                </c:pt>
                <c:pt idx="60">
                  <c:v>5.0019216112102722E-17</c:v>
                </c:pt>
                <c:pt idx="61">
                  <c:v>2.684037419874477E-17</c:v>
                </c:pt>
                <c:pt idx="62">
                  <c:v>1.4402578511308046E-17</c:v>
                </c:pt>
                <c:pt idx="63">
                  <c:v>7.7284417213562838E-18</c:v>
                </c:pt>
                <c:pt idx="64">
                  <c:v>4.1470915359707372E-18</c:v>
                </c:pt>
                <c:pt idx="65">
                  <c:v>2.2253345276830517E-18</c:v>
                </c:pt>
                <c:pt idx="66">
                  <c:v>1.1941173029688568E-18</c:v>
                </c:pt>
                <c:pt idx="67">
                  <c:v>6.4076484479581835E-19</c:v>
                </c:pt>
                <c:pt idx="68">
                  <c:v>3.4383522063151718E-19</c:v>
                </c:pt>
                <c:pt idx="69">
                  <c:v>1.8450241130877912E-19</c:v>
                </c:pt>
                <c:pt idx="70">
                  <c:v>9.9004225675983079E-20</c:v>
                </c:pt>
                <c:pt idx="71">
                  <c:v>5.3125791864566905E-20</c:v>
                </c:pt>
                <c:pt idx="72">
                  <c:v>2.8507366649926156E-20</c:v>
                </c:pt>
                <c:pt idx="73">
                  <c:v>1.5297088754649718E-20</c:v>
                </c:pt>
                <c:pt idx="74">
                  <c:v>8.2084370415965934E-21</c:v>
                </c:pt>
                <c:pt idx="75">
                  <c:v>4.4046576277708132E-21</c:v>
                </c:pt>
                <c:pt idx="76">
                  <c:v>2.3635448160915823E-21</c:v>
                </c:pt>
                <c:pt idx="77">
                  <c:v>1.2682811173454555E-21</c:v>
                </c:pt>
                <c:pt idx="78">
                  <c:v>6.8056124075318635E-22</c:v>
                </c:pt>
                <c:pt idx="79">
                  <c:v>3.6519001669355682E-22</c:v>
                </c:pt>
                <c:pt idx="80">
                  <c:v>1.9596142170107536E-22</c:v>
                </c:pt>
                <c:pt idx="81">
                  <c:v>1.0515314504703493E-22</c:v>
                </c:pt>
                <c:pt idx="82">
                  <c:v>5.6425309723204611E-23</c:v>
                </c:pt>
                <c:pt idx="83">
                  <c:v>3.0277892077649491E-23</c:v>
                </c:pt>
                <c:pt idx="84">
                  <c:v>1.6247154923259444E-23</c:v>
                </c:pt>
                <c:pt idx="85">
                  <c:v>8.7182437411239332E-24</c:v>
                </c:pt>
                <c:pt idx="86">
                  <c:v>4.6782205431446513E-24</c:v>
                </c:pt>
                <c:pt idx="87">
                  <c:v>2.510339020124636E-24</c:v>
                </c:pt>
                <c:pt idx="88">
                  <c:v>1.3470510716290902E-24</c:v>
                </c:pt>
                <c:pt idx="89">
                  <c:v>7.2282929717079234E-25</c:v>
                </c:pt>
                <c:pt idx="90">
                  <c:v>3.8787110886340846E-25</c:v>
                </c:pt>
                <c:pt idx="91">
                  <c:v>2.081321242508849E-25</c:v>
                </c:pt>
                <c:pt idx="92">
                  <c:v>1.1168395932381976E-25</c:v>
                </c:pt>
                <c:pt idx="93">
                  <c:v>5.9929752867985826E-26</c:v>
                </c:pt>
                <c:pt idx="94">
                  <c:v>3.2158380671340297E-26</c:v>
                </c:pt>
                <c:pt idx="95">
                  <c:v>1.7256227464860522E-26</c:v>
                </c:pt>
                <c:pt idx="96">
                  <c:v>9.2597133345208238E-27</c:v>
                </c:pt>
                <c:pt idx="97">
                  <c:v>4.9687738071430901E-27</c:v>
                </c:pt>
                <c:pt idx="98">
                  <c:v>2.6662502665724981E-27</c:v>
                </c:pt>
                <c:pt idx="99">
                  <c:v>1.4307132423251597E-27</c:v>
                </c:pt>
                <c:pt idx="100">
                  <c:v>7.6772252306079537E-28</c:v>
                </c:pt>
                <c:pt idx="101">
                  <c:v>4.1196087026982631E-28</c:v>
                </c:pt>
                <c:pt idx="102">
                  <c:v>2.2105872048257376E-28</c:v>
                </c:pt>
                <c:pt idx="103">
                  <c:v>1.1862038709983483E-28</c:v>
                </c:pt>
                <c:pt idx="104">
                  <c:v>6.3651848725978115E-29</c:v>
                </c:pt>
                <c:pt idx="105">
                  <c:v>3.4155661984350283E-29</c:v>
                </c:pt>
                <c:pt idx="106">
                  <c:v>1.8327971126360466E-29</c:v>
                </c:pt>
                <c:pt idx="107">
                  <c:v>9.8348123295815419E-30</c:v>
                </c:pt>
                <c:pt idx="108">
                  <c:v>5.2773726503187448E-30</c:v>
                </c:pt>
                <c:pt idx="109">
                  <c:v>2.8318447934753926E-30</c:v>
                </c:pt>
                <c:pt idx="110">
                  <c:v>1.519571473477284E-30</c:v>
                </c:pt>
                <c:pt idx="111">
                  <c:v>8.1540396151869448E-31</c:v>
                </c:pt>
                <c:pt idx="112">
                  <c:v>4.3754679004266601E-31</c:v>
                </c:pt>
                <c:pt idx="113">
                  <c:v>2.3478815717311945E-31</c:v>
                </c:pt>
                <c:pt idx="114">
                  <c:v>1.2598762007458639E-31</c:v>
                </c:pt>
                <c:pt idx="115">
                  <c:v>6.7605115194778702E-32</c:v>
                </c:pt>
                <c:pt idx="116">
                  <c:v>3.6276989737511213E-32</c:v>
                </c:pt>
                <c:pt idx="117">
                  <c:v>1.9466278263469823E-32</c:v>
                </c:pt>
                <c:pt idx="118">
                  <c:v>1.0445629369269564E-32</c:v>
                </c:pt>
                <c:pt idx="119">
                  <c:v>5.60513784110975E-33</c:v>
                </c:pt>
                <c:pt idx="120">
                  <c:v>3.0077240065849525E-33</c:v>
                </c:pt>
                <c:pt idx="121">
                  <c:v>1.6139484801673019E-33</c:v>
                </c:pt>
                <c:pt idx="122">
                  <c:v>8.660467818627863E-34</c:v>
                </c:pt>
                <c:pt idx="123">
                  <c:v>4.6472179105564728E-34</c:v>
                </c:pt>
                <c:pt idx="124">
                  <c:v>2.4937029685330064E-34</c:v>
                </c:pt>
                <c:pt idx="125">
                  <c:v>1.3381241454472054E-34</c:v>
                </c:pt>
                <c:pt idx="126">
                  <c:v>7.1803909736779837E-35</c:v>
                </c:pt>
                <c:pt idx="127">
                  <c:v>3.8530068163178296E-35</c:v>
                </c:pt>
                <c:pt idx="128">
                  <c:v>2.0675282976947858E-35</c:v>
                </c:pt>
                <c:pt idx="129">
                  <c:v>1.1094382817245988E-35</c:v>
                </c:pt>
                <c:pt idx="130">
                  <c:v>5.9532597562430795E-36</c:v>
                </c:pt>
                <c:pt idx="131">
                  <c:v>3.1945266635482088E-36</c:v>
                </c:pt>
                <c:pt idx="132">
                  <c:v>1.7141870205510166E-36</c:v>
                </c:pt>
                <c:pt idx="133">
                  <c:v>9.1983490855002668E-37</c:v>
                </c:pt>
                <c:pt idx="134">
                  <c:v>4.9358456740343681E-37</c:v>
                </c:pt>
                <c:pt idx="135">
                  <c:v>2.6485809889828123E-37</c:v>
                </c:pt>
                <c:pt idx="136">
                  <c:v>1.4212318857747834E-37</c:v>
                </c:pt>
                <c:pt idx="137">
                  <c:v>7.6263481522561203E-38</c:v>
                </c:pt>
                <c:pt idx="138">
                  <c:v>4.0923079985439645E-38</c:v>
                </c:pt>
                <c:pt idx="139">
                  <c:v>2.1959376126820076E-38</c:v>
                </c:pt>
                <c:pt idx="140">
                  <c:v>1.1783428814515754E-38</c:v>
                </c:pt>
                <c:pt idx="141">
                  <c:v>6.3230027039417918E-39</c:v>
                </c:pt>
                <c:pt idx="142">
                  <c:v>3.3929311937459366E-39</c:v>
                </c:pt>
                <c:pt idx="143">
                  <c:v>1.820651140686307E-39</c:v>
                </c:pt>
                <c:pt idx="144">
                  <c:v>9.7696368915241902E-40</c:v>
                </c:pt>
                <c:pt idx="145">
                  <c:v>5.2423994283854309E-40</c:v>
                </c:pt>
                <c:pt idx="146">
                  <c:v>2.813078118653378E-40</c:v>
                </c:pt>
                <c:pt idx="147">
                  <c:v>1.5095012521935249E-40</c:v>
                </c:pt>
                <c:pt idx="148">
                  <c:v>8.1000026812784871E-41</c:v>
                </c:pt>
                <c:pt idx="149">
                  <c:v>4.3464716138113654E-41</c:v>
                </c:pt>
                <c:pt idx="150">
                  <c:v>2.3323221279089912E-41</c:v>
                </c:pt>
                <c:pt idx="151">
                  <c:v>1.2515269836454711E-41</c:v>
                </c:pt>
                <c:pt idx="152">
                  <c:v>6.715709515636119E-42</c:v>
                </c:pt>
                <c:pt idx="153">
                  <c:v>3.60365816221039E-42</c:v>
                </c:pt>
                <c:pt idx="154">
                  <c:v>1.9337274966747106E-42</c:v>
                </c:pt>
                <c:pt idx="155">
                  <c:v>1.0376406038197175E-42</c:v>
                </c:pt>
                <c:pt idx="156">
                  <c:v>5.5679925146996258E-43</c:v>
                </c:pt>
                <c:pt idx="157">
                  <c:v>2.9877917777721315E-43</c:v>
                </c:pt>
                <c:pt idx="158">
                  <c:v>1.6032528211479116E-43</c:v>
                </c:pt>
                <c:pt idx="159">
                  <c:v>8.6030747779735225E-44</c:v>
                </c:pt>
                <c:pt idx="160">
                  <c:v>4.6164207328455343E-44</c:v>
                </c:pt>
                <c:pt idx="161">
                  <c:v>2.4771771642866097E-44</c:v>
                </c:pt>
                <c:pt idx="162">
                  <c:v>1.329256378129272E-44</c:v>
                </c:pt>
                <c:pt idx="163">
                  <c:v>7.1328064228548941E-45</c:v>
                </c:pt>
                <c:pt idx="164">
                  <c:v>3.8274728865715944E-45</c:v>
                </c:pt>
                <c:pt idx="165">
                  <c:v>2.053826758917849E-45</c:v>
                </c:pt>
                <c:pt idx="166">
                  <c:v>1.1020860188053049E-45</c:v>
                </c:pt>
                <c:pt idx="167">
                  <c:v>5.913807421060793E-46</c:v>
                </c:pt>
                <c:pt idx="168">
                  <c:v>3.1733564909302772E-46</c:v>
                </c:pt>
                <c:pt idx="169">
                  <c:v>1.7028270793307499E-46</c:v>
                </c:pt>
                <c:pt idx="170">
                  <c:v>9.1373914982114726E-47</c:v>
                </c:pt>
                <c:pt idx="171">
                  <c:v>4.9031357561215403E-47</c:v>
                </c:pt>
                <c:pt idx="172">
                  <c:v>2.6310288059413791E-47</c:v>
                </c:pt>
                <c:pt idx="173">
                  <c:v>1.4118133623061011E-47</c:v>
                </c:pt>
                <c:pt idx="174">
                  <c:v>7.5758082370098405E-48</c:v>
                </c:pt>
                <c:pt idx="175">
                  <c:v>4.0651882165357309E-48</c:v>
                </c:pt>
                <c:pt idx="176">
                  <c:v>2.1813851035891424E-48</c:v>
                </c:pt>
                <c:pt idx="177">
                  <c:v>1.1705339867918159E-48</c:v>
                </c:pt>
                <c:pt idx="178">
                  <c:v>6.2811000771039814E-49</c:v>
                </c:pt>
                <c:pt idx="179">
                  <c:v>3.3704461915476978E-49</c:v>
                </c:pt>
                <c:pt idx="180">
                  <c:v>1.808585660261563E-49</c:v>
                </c:pt>
                <c:pt idx="181">
                  <c:v>9.7048933720012205E-50</c:v>
                </c:pt>
                <c:pt idx="182">
                  <c:v>5.2076579744800826E-50</c:v>
                </c:pt>
                <c:pt idx="183">
                  <c:v>2.7944358108463119E-50</c:v>
                </c:pt>
                <c:pt idx="184">
                  <c:v>1.4994977664062573E-50</c:v>
                </c:pt>
                <c:pt idx="185">
                  <c:v>8.0463238508824019E-51</c:v>
                </c:pt>
                <c:pt idx="186">
                  <c:v>4.3176674859907122E-51</c:v>
                </c:pt>
                <c:pt idx="187">
                  <c:v>2.3168657967373776E-51</c:v>
                </c:pt>
                <c:pt idx="188">
                  <c:v>1.2432330969228599E-51</c:v>
                </c:pt>
                <c:pt idx="189">
                  <c:v>6.6712044152967809E-52</c:v>
                </c:pt>
                <c:pt idx="190">
                  <c:v>3.5797766694620162E-52</c:v>
                </c:pt>
                <c:pt idx="191">
                  <c:v>1.9209126576665236E-52</c:v>
                </c:pt>
                <c:pt idx="192">
                  <c:v>1.0307641451102473E-52</c:v>
                </c:pt>
                <c:pt idx="193">
                  <c:v>5.5310933508839551E-53</c:v>
                </c:pt>
                <c:pt idx="194">
                  <c:v>2.9679916401168029E-53</c:v>
                </c:pt>
                <c:pt idx="195">
                  <c:v>1.5926280424096065E-53</c:v>
                </c:pt>
                <c:pt idx="196">
                  <c:v>8.5460620817975046E-54</c:v>
                </c:pt>
                <c:pt idx="197">
                  <c:v>4.5858276484595093E-54</c:v>
                </c:pt>
                <c:pt idx="198">
                  <c:v>2.4607608767747385E-54</c:v>
                </c:pt>
                <c:pt idx="199">
                  <c:v>1.3204473776286385E-54</c:v>
                </c:pt>
                <c:pt idx="200">
                  <c:v>7.0855372155118552E-55</c:v>
                </c:pt>
                <c:pt idx="201">
                  <c:v>3.8021081705327723E-55</c:v>
                </c:pt>
                <c:pt idx="202">
                  <c:v>2.0402160204288724E-55</c:v>
                </c:pt>
                <c:pt idx="203">
                  <c:v>1.0947824794346386E-55</c:v>
                </c:pt>
                <c:pt idx="204">
                  <c:v>5.8746165370524131E-56</c:v>
                </c:pt>
                <c:pt idx="205">
                  <c:v>3.1523266133406471E-56</c:v>
                </c:pt>
                <c:pt idx="206">
                  <c:v>1.6915424205988569E-56</c:v>
                </c:pt>
                <c:pt idx="207">
                  <c:v>9.0768378777011023E-57</c:v>
                </c:pt>
                <c:pt idx="208">
                  <c:v>4.8706426072896789E-57</c:v>
                </c:pt>
                <c:pt idx="209">
                  <c:v>2.6135929414610173E-57</c:v>
                </c:pt>
                <c:pt idx="210">
                  <c:v>1.4024572555234063E-57</c:v>
                </c:pt>
                <c:pt idx="211">
                  <c:v>7.5256032504845286E-58</c:v>
                </c:pt>
                <c:pt idx="212">
                  <c:v>4.0382481576999551E-58</c:v>
                </c:pt>
                <c:pt idx="213">
                  <c:v>2.1669290341763818E-58</c:v>
                </c:pt>
                <c:pt idx="214">
                  <c:v>1.1627768417855627E-58</c:v>
                </c:pt>
                <c:pt idx="215">
                  <c:v>6.2394751395567757E-59</c:v>
                </c:pt>
                <c:pt idx="216">
                  <c:v>3.3481101977715288E-59</c:v>
                </c:pt>
                <c:pt idx="217">
                  <c:v>1.7966001379433852E-59</c:v>
                </c:pt>
                <c:pt idx="218">
                  <c:v>9.6405789086824986E-60</c:v>
                </c:pt>
                <c:pt idx="219">
                  <c:v>5.1731467526728312E-60</c:v>
                </c:pt>
                <c:pt idx="220">
                  <c:v>2.7759170458723762E-60</c:v>
                </c:pt>
                <c:pt idx="221">
                  <c:v>1.4895605738583536E-60</c:v>
                </c:pt>
                <c:pt idx="222">
                  <c:v>7.9930007508417356E-61</c:v>
                </c:pt>
                <c:pt idx="223">
                  <c:v>4.2890542435256368E-61</c:v>
                </c:pt>
                <c:pt idx="224">
                  <c:v>2.3015118948873527E-61</c:v>
                </c:pt>
                <c:pt idx="225">
                  <c:v>1.2349941739029001E-61</c:v>
                </c:pt>
                <c:pt idx="226">
                  <c:v>6.6269942508761228E-62</c:v>
                </c:pt>
                <c:pt idx="227">
                  <c:v>3.5560534396981993E-62</c:v>
                </c:pt>
                <c:pt idx="228">
                  <c:v>1.9081827427746561E-62</c:v>
                </c:pt>
                <c:pt idx="229">
                  <c:v>1.0239332567882442E-62</c:v>
                </c:pt>
                <c:pt idx="230">
                  <c:v>5.4944387183401155E-63</c:v>
                </c:pt>
                <c:pt idx="231">
                  <c:v>2.9483227182489451E-63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F7-4544-9201-D666FE4145A2}"/>
            </c:ext>
          </c:extLst>
        </c:ser>
        <c:ser>
          <c:idx val="1"/>
          <c:order val="1"/>
          <c:tx>
            <c:strRef>
              <c:f>'Csillapitott szabad rezgés'!$C$10</c:f>
              <c:strCache>
                <c:ptCount val="1"/>
                <c:pt idx="0">
                  <c:v>eDalfat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'Csillapitott szabad rezgés'!$A$11:$A$242</c:f>
              <c:numCache>
                <c:formatCode>General</c:formatCode>
                <c:ptCount val="232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  <c:pt idx="21">
                  <c:v>1.05</c:v>
                </c:pt>
                <c:pt idx="22">
                  <c:v>1.1000000000000001</c:v>
                </c:pt>
                <c:pt idx="23">
                  <c:v>1.1499999999999999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</c:v>
                </c:pt>
                <c:pt idx="41">
                  <c:v>2.0499999999999998</c:v>
                </c:pt>
                <c:pt idx="42">
                  <c:v>2.1</c:v>
                </c:pt>
                <c:pt idx="43">
                  <c:v>2.15</c:v>
                </c:pt>
                <c:pt idx="44">
                  <c:v>2.2000000000000002</c:v>
                </c:pt>
                <c:pt idx="45">
                  <c:v>2.25</c:v>
                </c:pt>
                <c:pt idx="46">
                  <c:v>2.2999999999999998</c:v>
                </c:pt>
                <c:pt idx="47">
                  <c:v>2.35</c:v>
                </c:pt>
                <c:pt idx="48">
                  <c:v>2.4</c:v>
                </c:pt>
                <c:pt idx="49">
                  <c:v>2.4500000000000002</c:v>
                </c:pt>
                <c:pt idx="50">
                  <c:v>2.5</c:v>
                </c:pt>
                <c:pt idx="51">
                  <c:v>2.5499999999999998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</c:v>
                </c:pt>
                <c:pt idx="81">
                  <c:v>4.05</c:v>
                </c:pt>
                <c:pt idx="82">
                  <c:v>4.0999999999999996</c:v>
                </c:pt>
                <c:pt idx="83">
                  <c:v>4.1500000000000004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4.3499999999999996</c:v>
                </c:pt>
                <c:pt idx="88">
                  <c:v>4.4000000000000004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4.5999999999999996</c:v>
                </c:pt>
                <c:pt idx="93">
                  <c:v>4.6500000000000004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4.8499999999999996</c:v>
                </c:pt>
                <c:pt idx="98">
                  <c:v>4.9000000000000004</c:v>
                </c:pt>
                <c:pt idx="99">
                  <c:v>4.95</c:v>
                </c:pt>
                <c:pt idx="100">
                  <c:v>5</c:v>
                </c:pt>
                <c:pt idx="101">
                  <c:v>5.05</c:v>
                </c:pt>
                <c:pt idx="102">
                  <c:v>5.0999999999999996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</c:v>
                </c:pt>
                <c:pt idx="161">
                  <c:v>8.0500000000000007</c:v>
                </c:pt>
                <c:pt idx="162">
                  <c:v>8.1</c:v>
                </c:pt>
                <c:pt idx="163">
                  <c:v>8.15</c:v>
                </c:pt>
                <c:pt idx="164">
                  <c:v>8.1999999999999993</c:v>
                </c:pt>
                <c:pt idx="165">
                  <c:v>8.25</c:v>
                </c:pt>
                <c:pt idx="166">
                  <c:v>8.3000000000000007</c:v>
                </c:pt>
                <c:pt idx="167">
                  <c:v>8.35</c:v>
                </c:pt>
                <c:pt idx="168">
                  <c:v>8.4</c:v>
                </c:pt>
                <c:pt idx="169">
                  <c:v>8.4499999999999993</c:v>
                </c:pt>
                <c:pt idx="170">
                  <c:v>8.5</c:v>
                </c:pt>
                <c:pt idx="171">
                  <c:v>8.5500000000000007</c:v>
                </c:pt>
                <c:pt idx="172">
                  <c:v>8.6</c:v>
                </c:pt>
                <c:pt idx="173">
                  <c:v>8.65</c:v>
                </c:pt>
                <c:pt idx="174">
                  <c:v>8.6999999999999993</c:v>
                </c:pt>
                <c:pt idx="175">
                  <c:v>8.75</c:v>
                </c:pt>
                <c:pt idx="176">
                  <c:v>8.8000000000000007</c:v>
                </c:pt>
                <c:pt idx="177">
                  <c:v>8.85</c:v>
                </c:pt>
                <c:pt idx="178">
                  <c:v>8.9</c:v>
                </c:pt>
                <c:pt idx="179">
                  <c:v>8.9499999999999993</c:v>
                </c:pt>
                <c:pt idx="180">
                  <c:v>9</c:v>
                </c:pt>
                <c:pt idx="181">
                  <c:v>9.0500000000000007</c:v>
                </c:pt>
                <c:pt idx="182">
                  <c:v>9.1</c:v>
                </c:pt>
                <c:pt idx="183">
                  <c:v>9.15</c:v>
                </c:pt>
                <c:pt idx="184">
                  <c:v>9.1999999999999993</c:v>
                </c:pt>
                <c:pt idx="185">
                  <c:v>9.25</c:v>
                </c:pt>
                <c:pt idx="186">
                  <c:v>9.3000000000000007</c:v>
                </c:pt>
                <c:pt idx="187">
                  <c:v>9.35</c:v>
                </c:pt>
                <c:pt idx="188">
                  <c:v>9.4</c:v>
                </c:pt>
                <c:pt idx="189">
                  <c:v>9.4499999999999993</c:v>
                </c:pt>
                <c:pt idx="190">
                  <c:v>9.5</c:v>
                </c:pt>
                <c:pt idx="191">
                  <c:v>9.5500000000000007</c:v>
                </c:pt>
                <c:pt idx="192">
                  <c:v>9.6</c:v>
                </c:pt>
                <c:pt idx="193">
                  <c:v>9.65</c:v>
                </c:pt>
                <c:pt idx="194">
                  <c:v>9.6999999999999993</c:v>
                </c:pt>
                <c:pt idx="195">
                  <c:v>9.75</c:v>
                </c:pt>
                <c:pt idx="196">
                  <c:v>9.8000000000000007</c:v>
                </c:pt>
                <c:pt idx="197">
                  <c:v>9.85</c:v>
                </c:pt>
                <c:pt idx="198">
                  <c:v>9.9</c:v>
                </c:pt>
                <c:pt idx="199">
                  <c:v>9.9499999999999993</c:v>
                </c:pt>
                <c:pt idx="200">
                  <c:v>10</c:v>
                </c:pt>
                <c:pt idx="201">
                  <c:v>10.050000000000001</c:v>
                </c:pt>
                <c:pt idx="202">
                  <c:v>10.1</c:v>
                </c:pt>
                <c:pt idx="203">
                  <c:v>10.15</c:v>
                </c:pt>
                <c:pt idx="204">
                  <c:v>10.199999999999999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</c:numCache>
            </c:numRef>
          </c:cat>
          <c:val>
            <c:numRef>
              <c:f>'Csillapitott szabad rezgés'!$C$11:$C$242</c:f>
              <c:numCache>
                <c:formatCode>General</c:formatCode>
                <c:ptCount val="232"/>
                <c:pt idx="0">
                  <c:v>-0.83183230076684567</c:v>
                </c:pt>
                <c:pt idx="1">
                  <c:v>-0.44636225752012121</c:v>
                </c:pt>
                <c:pt idx="2">
                  <c:v>-0.23951854809531353</c:v>
                </c:pt>
                <c:pt idx="3">
                  <c:v>-0.12852595378564449</c:v>
                </c:pt>
                <c:pt idx="4">
                  <c:v>-6.8967188252728143E-2</c:v>
                </c:pt>
                <c:pt idx="5">
                  <c:v>-3.7007879851411879E-2</c:v>
                </c:pt>
                <c:pt idx="6">
                  <c:v>-1.9858474816716352E-2</c:v>
                </c:pt>
                <c:pt idx="7">
                  <c:v>-1.0656082532409981E-2</c:v>
                </c:pt>
                <c:pt idx="8">
                  <c:v>-5.7180672728173315E-3</c:v>
                </c:pt>
                <c:pt idx="9">
                  <c:v>-3.0683220814985653E-3</c:v>
                </c:pt>
                <c:pt idx="10">
                  <c:v>-1.6464654832878609E-3</c:v>
                </c:pt>
                <c:pt idx="11">
                  <c:v>-8.8349544658439206E-4</c:v>
                </c:pt>
                <c:pt idx="12">
                  <c:v>-4.7408476646387457E-4</c:v>
                </c:pt>
                <c:pt idx="13">
                  <c:v>-2.5439448121891049E-4</c:v>
                </c:pt>
                <c:pt idx="14">
                  <c:v>-1.3650839818657228E-4</c:v>
                </c:pt>
                <c:pt idx="15">
                  <c:v>-7.325057794562932E-5</c:v>
                </c:pt>
                <c:pt idx="16">
                  <c:v>-3.9306352141318308E-5</c:v>
                </c:pt>
                <c:pt idx="17">
                  <c:v>-2.1091837934768259E-5</c:v>
                </c:pt>
                <c:pt idx="18">
                  <c:v>-1.1317906730879048E-5</c:v>
                </c:pt>
                <c:pt idx="19">
                  <c:v>-6.0732029690842076E-6</c:v>
                </c:pt>
                <c:pt idx="20">
                  <c:v>-3.2588883422286732E-6</c:v>
                </c:pt>
                <c:pt idx="21">
                  <c:v>-1.7487235781805951E-6</c:v>
                </c:pt>
                <c:pt idx="22">
                  <c:v>-9.3836726875810364E-7</c:v>
                </c:pt>
                <c:pt idx="23">
                  <c:v>-5.035290551710119E-7</c:v>
                </c:pt>
                <c:pt idx="24">
                  <c:v>-2.7019432352639966E-7</c:v>
                </c:pt>
                <c:pt idx="25">
                  <c:v>-1.4498661341616949E-7</c:v>
                </c:pt>
                <c:pt idx="26">
                  <c:v>-7.779999888797058E-8</c:v>
                </c:pt>
                <c:pt idx="27">
                  <c:v>-4.1747577133856721E-8</c:v>
                </c:pt>
                <c:pt idx="28">
                  <c:v>-2.2401802332375223E-8</c:v>
                </c:pt>
                <c:pt idx="29">
                  <c:v>-1.2020835272182114E-8</c:v>
                </c:pt>
                <c:pt idx="30">
                  <c:v>-6.4503953073501227E-9</c:v>
                </c:pt>
                <c:pt idx="31">
                  <c:v>-3.4612902247625096E-9</c:v>
                </c:pt>
                <c:pt idx="32">
                  <c:v>-1.8573326826008448E-9</c:v>
                </c:pt>
                <c:pt idx="33">
                  <c:v>-9.9664705062227759E-10</c:v>
                </c:pt>
                <c:pt idx="34">
                  <c:v>-5.348020593290484E-10</c:v>
                </c:pt>
                <c:pt idx="35">
                  <c:v>-2.8697545684203206E-10</c:v>
                </c:pt>
                <c:pt idx="36">
                  <c:v>-1.539913906334121E-10</c:v>
                </c:pt>
                <c:pt idx="37">
                  <c:v>-8.2631973654337306E-11</c:v>
                </c:pt>
                <c:pt idx="38">
                  <c:v>-4.4340420863304982E-11</c:v>
                </c:pt>
                <c:pt idx="39">
                  <c:v>-2.3793125534667825E-11</c:v>
                </c:pt>
                <c:pt idx="40">
                  <c:v>-1.2767421050280578E-11</c:v>
                </c:pt>
                <c:pt idx="41">
                  <c:v>-6.8510141737216658E-12</c:v>
                </c:pt>
                <c:pt idx="42">
                  <c:v>-3.6762628117056985E-12</c:v>
                </c:pt>
                <c:pt idx="43">
                  <c:v>-1.9726872427981934E-12</c:v>
                </c:pt>
                <c:pt idx="44">
                  <c:v>-1.0585464525299167E-12</c:v>
                </c:pt>
                <c:pt idx="45">
                  <c:v>-5.6801735614929654E-13</c:v>
                </c:pt>
                <c:pt idx="46">
                  <c:v>-3.047988268400714E-13</c:v>
                </c:pt>
                <c:pt idx="47">
                  <c:v>-1.6355543336366742E-13</c:v>
                </c:pt>
                <c:pt idx="48">
                  <c:v>-8.7764050997523462E-14</c:v>
                </c:pt>
                <c:pt idx="49">
                  <c:v>-4.7094300012456038E-14</c:v>
                </c:pt>
                <c:pt idx="50">
                  <c:v>-2.5270860545462021E-14</c:v>
                </c:pt>
                <c:pt idx="51">
                  <c:v>-1.3560375513369619E-14</c:v>
                </c:pt>
                <c:pt idx="52">
                  <c:v>-7.2765145347064068E-15</c:v>
                </c:pt>
                <c:pt idx="53">
                  <c:v>-3.9045868399138907E-15</c:v>
                </c:pt>
                <c:pt idx="54">
                  <c:v>-2.0952062031501021E-15</c:v>
                </c:pt>
                <c:pt idx="55">
                  <c:v>-1.1242902805602631E-15</c:v>
                </c:pt>
                <c:pt idx="56">
                  <c:v>-6.0329557685626945E-16</c:v>
                </c:pt>
                <c:pt idx="57">
                  <c:v>-3.2372916438711916E-16</c:v>
                </c:pt>
                <c:pt idx="58">
                  <c:v>-1.7371347627127033E-16</c:v>
                </c:pt>
                <c:pt idx="59">
                  <c:v>-9.3214869582042758E-17</c:v>
                </c:pt>
                <c:pt idx="60">
                  <c:v>-5.0019216112102722E-17</c:v>
                </c:pt>
                <c:pt idx="61">
                  <c:v>-2.684037419874477E-17</c:v>
                </c:pt>
                <c:pt idx="62">
                  <c:v>-1.4402578511308046E-17</c:v>
                </c:pt>
                <c:pt idx="63">
                  <c:v>-7.7284417213562838E-18</c:v>
                </c:pt>
                <c:pt idx="64">
                  <c:v>-4.1470915359707372E-18</c:v>
                </c:pt>
                <c:pt idx="65">
                  <c:v>-2.2253345276830517E-18</c:v>
                </c:pt>
                <c:pt idx="66">
                  <c:v>-1.1941173029688568E-18</c:v>
                </c:pt>
                <c:pt idx="67">
                  <c:v>-6.4076484479581835E-19</c:v>
                </c:pt>
                <c:pt idx="68">
                  <c:v>-3.4383522063151718E-19</c:v>
                </c:pt>
                <c:pt idx="69">
                  <c:v>-1.8450241130877912E-19</c:v>
                </c:pt>
                <c:pt idx="70">
                  <c:v>-9.9004225675983079E-20</c:v>
                </c:pt>
                <c:pt idx="71">
                  <c:v>-5.3125791864566905E-20</c:v>
                </c:pt>
                <c:pt idx="72">
                  <c:v>-2.8507366649926156E-20</c:v>
                </c:pt>
                <c:pt idx="73">
                  <c:v>-1.5297088754649718E-20</c:v>
                </c:pt>
                <c:pt idx="74">
                  <c:v>-8.2084370415965934E-21</c:v>
                </c:pt>
                <c:pt idx="75">
                  <c:v>-4.4046576277708132E-21</c:v>
                </c:pt>
                <c:pt idx="76">
                  <c:v>-2.3635448160915823E-21</c:v>
                </c:pt>
                <c:pt idx="77">
                  <c:v>-1.2682811173454555E-21</c:v>
                </c:pt>
                <c:pt idx="78">
                  <c:v>-6.8056124075318635E-22</c:v>
                </c:pt>
                <c:pt idx="79">
                  <c:v>-3.6519001669355682E-22</c:v>
                </c:pt>
                <c:pt idx="80">
                  <c:v>-1.9596142170107536E-22</c:v>
                </c:pt>
                <c:pt idx="81">
                  <c:v>-1.0515314504703493E-22</c:v>
                </c:pt>
                <c:pt idx="82">
                  <c:v>-5.6425309723204611E-23</c:v>
                </c:pt>
                <c:pt idx="83">
                  <c:v>-3.0277892077649491E-23</c:v>
                </c:pt>
                <c:pt idx="84">
                  <c:v>-1.6247154923259444E-23</c:v>
                </c:pt>
                <c:pt idx="85">
                  <c:v>-8.7182437411239332E-24</c:v>
                </c:pt>
                <c:pt idx="86">
                  <c:v>-4.6782205431446513E-24</c:v>
                </c:pt>
                <c:pt idx="87">
                  <c:v>-2.510339020124636E-24</c:v>
                </c:pt>
                <c:pt idx="88">
                  <c:v>-1.3470510716290902E-24</c:v>
                </c:pt>
                <c:pt idx="89">
                  <c:v>-7.2282929717079234E-25</c:v>
                </c:pt>
                <c:pt idx="90">
                  <c:v>-3.8787110886340846E-25</c:v>
                </c:pt>
                <c:pt idx="91">
                  <c:v>-2.081321242508849E-25</c:v>
                </c:pt>
                <c:pt idx="92">
                  <c:v>-1.1168395932381976E-25</c:v>
                </c:pt>
                <c:pt idx="93">
                  <c:v>-5.9929752867985826E-26</c:v>
                </c:pt>
                <c:pt idx="94">
                  <c:v>-3.2158380671340297E-26</c:v>
                </c:pt>
                <c:pt idx="95">
                  <c:v>-1.7256227464860522E-26</c:v>
                </c:pt>
                <c:pt idx="96">
                  <c:v>-9.2597133345208238E-27</c:v>
                </c:pt>
                <c:pt idx="97">
                  <c:v>-4.9687738071430901E-27</c:v>
                </c:pt>
                <c:pt idx="98">
                  <c:v>-2.6662502665724981E-27</c:v>
                </c:pt>
                <c:pt idx="99">
                  <c:v>-1.4307132423251597E-27</c:v>
                </c:pt>
                <c:pt idx="100">
                  <c:v>-7.6772252306079537E-28</c:v>
                </c:pt>
                <c:pt idx="101">
                  <c:v>-4.1196087026982631E-28</c:v>
                </c:pt>
                <c:pt idx="102">
                  <c:v>-2.2105872048257376E-28</c:v>
                </c:pt>
                <c:pt idx="103">
                  <c:v>-1.1862038709983483E-28</c:v>
                </c:pt>
                <c:pt idx="104">
                  <c:v>-6.3651848725978115E-29</c:v>
                </c:pt>
                <c:pt idx="105">
                  <c:v>-3.4155661984350283E-29</c:v>
                </c:pt>
                <c:pt idx="106">
                  <c:v>-1.8327971126360466E-29</c:v>
                </c:pt>
                <c:pt idx="107">
                  <c:v>-9.8348123295815419E-30</c:v>
                </c:pt>
                <c:pt idx="108">
                  <c:v>-5.2773726503187448E-30</c:v>
                </c:pt>
                <c:pt idx="109">
                  <c:v>-2.8318447934753926E-30</c:v>
                </c:pt>
                <c:pt idx="110">
                  <c:v>-1.519571473477284E-30</c:v>
                </c:pt>
                <c:pt idx="111">
                  <c:v>-8.1540396151869448E-31</c:v>
                </c:pt>
                <c:pt idx="112">
                  <c:v>-4.3754679004266601E-31</c:v>
                </c:pt>
                <c:pt idx="113">
                  <c:v>-2.3478815717311945E-31</c:v>
                </c:pt>
                <c:pt idx="114">
                  <c:v>-1.2598762007458639E-31</c:v>
                </c:pt>
                <c:pt idx="115">
                  <c:v>-6.7605115194778702E-32</c:v>
                </c:pt>
                <c:pt idx="116">
                  <c:v>-3.6276989737511213E-32</c:v>
                </c:pt>
                <c:pt idx="117">
                  <c:v>-1.9466278263469823E-32</c:v>
                </c:pt>
                <c:pt idx="118">
                  <c:v>-1.0445629369269564E-32</c:v>
                </c:pt>
                <c:pt idx="119">
                  <c:v>-5.60513784110975E-33</c:v>
                </c:pt>
                <c:pt idx="120">
                  <c:v>-3.0077240065849525E-33</c:v>
                </c:pt>
                <c:pt idx="121">
                  <c:v>-1.6139484801673019E-33</c:v>
                </c:pt>
                <c:pt idx="122">
                  <c:v>-8.660467818627863E-34</c:v>
                </c:pt>
                <c:pt idx="123">
                  <c:v>-4.6472179105564728E-34</c:v>
                </c:pt>
                <c:pt idx="124">
                  <c:v>-2.4937029685330064E-34</c:v>
                </c:pt>
                <c:pt idx="125">
                  <c:v>-1.3381241454472054E-34</c:v>
                </c:pt>
                <c:pt idx="126">
                  <c:v>-7.1803909736779837E-35</c:v>
                </c:pt>
                <c:pt idx="127">
                  <c:v>-3.8530068163178296E-35</c:v>
                </c:pt>
                <c:pt idx="128">
                  <c:v>-2.0675282976947858E-35</c:v>
                </c:pt>
                <c:pt idx="129">
                  <c:v>-1.1094382817245988E-35</c:v>
                </c:pt>
                <c:pt idx="130">
                  <c:v>-5.9532597562430795E-36</c:v>
                </c:pt>
                <c:pt idx="131">
                  <c:v>-3.1945266635482088E-36</c:v>
                </c:pt>
                <c:pt idx="132">
                  <c:v>-1.7141870205510166E-36</c:v>
                </c:pt>
                <c:pt idx="133">
                  <c:v>-9.1983490855002668E-37</c:v>
                </c:pt>
                <c:pt idx="134">
                  <c:v>-4.9358456740343681E-37</c:v>
                </c:pt>
                <c:pt idx="135">
                  <c:v>-2.6485809889828123E-37</c:v>
                </c:pt>
                <c:pt idx="136">
                  <c:v>-1.4212318857747834E-37</c:v>
                </c:pt>
                <c:pt idx="137">
                  <c:v>-7.6263481522561203E-38</c:v>
                </c:pt>
                <c:pt idx="138">
                  <c:v>-4.0923079985439645E-38</c:v>
                </c:pt>
                <c:pt idx="139">
                  <c:v>-2.1959376126820076E-38</c:v>
                </c:pt>
                <c:pt idx="140">
                  <c:v>-1.1783428814515754E-38</c:v>
                </c:pt>
                <c:pt idx="141">
                  <c:v>-6.3230027039417918E-39</c:v>
                </c:pt>
                <c:pt idx="142">
                  <c:v>-3.3929311937459366E-39</c:v>
                </c:pt>
                <c:pt idx="143">
                  <c:v>-1.820651140686307E-39</c:v>
                </c:pt>
                <c:pt idx="144">
                  <c:v>-9.7696368915241902E-40</c:v>
                </c:pt>
                <c:pt idx="145">
                  <c:v>-5.2423994283854309E-40</c:v>
                </c:pt>
                <c:pt idx="146">
                  <c:v>-2.813078118653378E-40</c:v>
                </c:pt>
                <c:pt idx="147">
                  <c:v>-1.5095012521935249E-40</c:v>
                </c:pt>
                <c:pt idx="148">
                  <c:v>-8.1000026812784871E-41</c:v>
                </c:pt>
                <c:pt idx="149">
                  <c:v>-4.3464716138113654E-41</c:v>
                </c:pt>
                <c:pt idx="150">
                  <c:v>-2.3323221279089912E-41</c:v>
                </c:pt>
                <c:pt idx="151">
                  <c:v>-1.2515269836454711E-41</c:v>
                </c:pt>
                <c:pt idx="152">
                  <c:v>-6.715709515636119E-42</c:v>
                </c:pt>
                <c:pt idx="153">
                  <c:v>-3.60365816221039E-42</c:v>
                </c:pt>
                <c:pt idx="154">
                  <c:v>-1.9337274966747106E-42</c:v>
                </c:pt>
                <c:pt idx="155">
                  <c:v>-1.0376406038197175E-42</c:v>
                </c:pt>
                <c:pt idx="156">
                  <c:v>-5.5679925146996258E-43</c:v>
                </c:pt>
                <c:pt idx="157">
                  <c:v>-2.9877917777721315E-43</c:v>
                </c:pt>
                <c:pt idx="158">
                  <c:v>-1.6032528211479116E-43</c:v>
                </c:pt>
                <c:pt idx="159">
                  <c:v>-8.6030747779735225E-44</c:v>
                </c:pt>
                <c:pt idx="160">
                  <c:v>-4.6164207328455343E-44</c:v>
                </c:pt>
                <c:pt idx="161">
                  <c:v>-2.4771771642866097E-44</c:v>
                </c:pt>
                <c:pt idx="162">
                  <c:v>-1.329256378129272E-44</c:v>
                </c:pt>
                <c:pt idx="163">
                  <c:v>-7.1328064228548941E-45</c:v>
                </c:pt>
                <c:pt idx="164">
                  <c:v>-3.8274728865715944E-45</c:v>
                </c:pt>
                <c:pt idx="165">
                  <c:v>-2.053826758917849E-45</c:v>
                </c:pt>
                <c:pt idx="166">
                  <c:v>-1.1020860188053049E-45</c:v>
                </c:pt>
                <c:pt idx="167">
                  <c:v>-5.913807421060793E-46</c:v>
                </c:pt>
                <c:pt idx="168">
                  <c:v>-3.1733564909302772E-46</c:v>
                </c:pt>
                <c:pt idx="169">
                  <c:v>-1.7028270793307499E-46</c:v>
                </c:pt>
                <c:pt idx="170">
                  <c:v>-9.1373914982114726E-47</c:v>
                </c:pt>
                <c:pt idx="171">
                  <c:v>-4.9031357561215403E-47</c:v>
                </c:pt>
                <c:pt idx="172">
                  <c:v>-2.6310288059413791E-47</c:v>
                </c:pt>
                <c:pt idx="173">
                  <c:v>-1.4118133623061011E-47</c:v>
                </c:pt>
                <c:pt idx="174">
                  <c:v>-7.5758082370098405E-48</c:v>
                </c:pt>
                <c:pt idx="175">
                  <c:v>-4.0651882165357309E-48</c:v>
                </c:pt>
                <c:pt idx="176">
                  <c:v>-2.1813851035891424E-48</c:v>
                </c:pt>
                <c:pt idx="177">
                  <c:v>-1.1705339867918159E-48</c:v>
                </c:pt>
                <c:pt idx="178">
                  <c:v>-6.2811000771039814E-49</c:v>
                </c:pt>
                <c:pt idx="179">
                  <c:v>-3.3704461915476978E-49</c:v>
                </c:pt>
                <c:pt idx="180">
                  <c:v>-1.808585660261563E-49</c:v>
                </c:pt>
                <c:pt idx="181">
                  <c:v>-9.7048933720012205E-50</c:v>
                </c:pt>
                <c:pt idx="182">
                  <c:v>-5.2076579744800826E-50</c:v>
                </c:pt>
                <c:pt idx="183">
                  <c:v>-2.7944358108463119E-50</c:v>
                </c:pt>
                <c:pt idx="184">
                  <c:v>-1.4994977664062573E-50</c:v>
                </c:pt>
                <c:pt idx="185">
                  <c:v>-8.0463238508824019E-51</c:v>
                </c:pt>
                <c:pt idx="186">
                  <c:v>-4.3176674859907122E-51</c:v>
                </c:pt>
                <c:pt idx="187">
                  <c:v>-2.3168657967373776E-51</c:v>
                </c:pt>
                <c:pt idx="188">
                  <c:v>-1.2432330969228599E-51</c:v>
                </c:pt>
                <c:pt idx="189">
                  <c:v>-6.6712044152967809E-52</c:v>
                </c:pt>
                <c:pt idx="190">
                  <c:v>-3.5797766694620162E-52</c:v>
                </c:pt>
                <c:pt idx="191">
                  <c:v>-1.9209126576665236E-52</c:v>
                </c:pt>
                <c:pt idx="192">
                  <c:v>-1.0307641451102473E-52</c:v>
                </c:pt>
                <c:pt idx="193">
                  <c:v>-5.5310933508839551E-53</c:v>
                </c:pt>
                <c:pt idx="194">
                  <c:v>-2.9679916401168029E-53</c:v>
                </c:pt>
                <c:pt idx="195">
                  <c:v>-1.5926280424096065E-53</c:v>
                </c:pt>
                <c:pt idx="196">
                  <c:v>-8.5460620817975046E-54</c:v>
                </c:pt>
                <c:pt idx="197">
                  <c:v>-4.5858276484595093E-54</c:v>
                </c:pt>
                <c:pt idx="198">
                  <c:v>-2.4607608767747385E-54</c:v>
                </c:pt>
                <c:pt idx="199">
                  <c:v>-1.3204473776286385E-54</c:v>
                </c:pt>
                <c:pt idx="200">
                  <c:v>-7.0855372155118552E-55</c:v>
                </c:pt>
                <c:pt idx="201">
                  <c:v>-3.8021081705327723E-55</c:v>
                </c:pt>
                <c:pt idx="202">
                  <c:v>-2.0402160204288724E-55</c:v>
                </c:pt>
                <c:pt idx="203">
                  <c:v>-1.0947824794346386E-55</c:v>
                </c:pt>
                <c:pt idx="204">
                  <c:v>-5.8746165370524131E-56</c:v>
                </c:pt>
                <c:pt idx="205">
                  <c:v>-3.1523266133406471E-56</c:v>
                </c:pt>
                <c:pt idx="206">
                  <c:v>-1.6915424205988569E-56</c:v>
                </c:pt>
                <c:pt idx="207">
                  <c:v>-9.0768378777011023E-57</c:v>
                </c:pt>
                <c:pt idx="208">
                  <c:v>-4.8706426072896789E-57</c:v>
                </c:pt>
                <c:pt idx="209">
                  <c:v>-2.6135929414610173E-57</c:v>
                </c:pt>
                <c:pt idx="210">
                  <c:v>-1.4024572555234063E-57</c:v>
                </c:pt>
                <c:pt idx="211">
                  <c:v>-7.5256032504845286E-58</c:v>
                </c:pt>
                <c:pt idx="212">
                  <c:v>-4.0382481576999551E-58</c:v>
                </c:pt>
                <c:pt idx="213">
                  <c:v>-2.1669290341763818E-58</c:v>
                </c:pt>
                <c:pt idx="214">
                  <c:v>-1.1627768417855627E-58</c:v>
                </c:pt>
                <c:pt idx="215">
                  <c:v>-6.2394751395567757E-59</c:v>
                </c:pt>
                <c:pt idx="216">
                  <c:v>-3.3481101977715288E-59</c:v>
                </c:pt>
                <c:pt idx="217">
                  <c:v>-1.7966001379433852E-59</c:v>
                </c:pt>
                <c:pt idx="218">
                  <c:v>-9.6405789086824986E-60</c:v>
                </c:pt>
                <c:pt idx="219">
                  <c:v>-5.1731467526728312E-60</c:v>
                </c:pt>
                <c:pt idx="220">
                  <c:v>-2.7759170458723762E-60</c:v>
                </c:pt>
                <c:pt idx="221">
                  <c:v>-1.4895605738583536E-60</c:v>
                </c:pt>
                <c:pt idx="222">
                  <c:v>-7.9930007508417356E-61</c:v>
                </c:pt>
                <c:pt idx="223">
                  <c:v>-4.2890542435256368E-61</c:v>
                </c:pt>
                <c:pt idx="224">
                  <c:v>-2.3015118948873527E-61</c:v>
                </c:pt>
                <c:pt idx="225">
                  <c:v>-1.2349941739029001E-61</c:v>
                </c:pt>
                <c:pt idx="226">
                  <c:v>-6.6269942508761228E-62</c:v>
                </c:pt>
                <c:pt idx="227">
                  <c:v>-3.5560534396981993E-62</c:v>
                </c:pt>
                <c:pt idx="228">
                  <c:v>-1.9081827427746561E-62</c:v>
                </c:pt>
                <c:pt idx="229">
                  <c:v>-1.0239332567882442E-62</c:v>
                </c:pt>
                <c:pt idx="230">
                  <c:v>-5.4944387183401155E-63</c:v>
                </c:pt>
                <c:pt idx="231">
                  <c:v>-2.9483227182489451E-63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F7-4544-9201-D666FE4145A2}"/>
            </c:ext>
          </c:extLst>
        </c:ser>
        <c:ser>
          <c:idx val="2"/>
          <c:order val="2"/>
          <c:tx>
            <c:strRef>
              <c:f>'Csillapitott szabad rezgés'!$D$10</c:f>
              <c:strCache>
                <c:ptCount val="1"/>
                <c:pt idx="0">
                  <c:v>y2 (A,B)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'Csillapitott szabad rezgés'!$A$11:$A$242</c:f>
              <c:numCache>
                <c:formatCode>General</c:formatCode>
                <c:ptCount val="232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  <c:pt idx="21">
                  <c:v>1.05</c:v>
                </c:pt>
                <c:pt idx="22">
                  <c:v>1.1000000000000001</c:v>
                </c:pt>
                <c:pt idx="23">
                  <c:v>1.1499999999999999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</c:v>
                </c:pt>
                <c:pt idx="41">
                  <c:v>2.0499999999999998</c:v>
                </c:pt>
                <c:pt idx="42">
                  <c:v>2.1</c:v>
                </c:pt>
                <c:pt idx="43">
                  <c:v>2.15</c:v>
                </c:pt>
                <c:pt idx="44">
                  <c:v>2.2000000000000002</c:v>
                </c:pt>
                <c:pt idx="45">
                  <c:v>2.25</c:v>
                </c:pt>
                <c:pt idx="46">
                  <c:v>2.2999999999999998</c:v>
                </c:pt>
                <c:pt idx="47">
                  <c:v>2.35</c:v>
                </c:pt>
                <c:pt idx="48">
                  <c:v>2.4</c:v>
                </c:pt>
                <c:pt idx="49">
                  <c:v>2.4500000000000002</c:v>
                </c:pt>
                <c:pt idx="50">
                  <c:v>2.5</c:v>
                </c:pt>
                <c:pt idx="51">
                  <c:v>2.5499999999999998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</c:v>
                </c:pt>
                <c:pt idx="81">
                  <c:v>4.05</c:v>
                </c:pt>
                <c:pt idx="82">
                  <c:v>4.0999999999999996</c:v>
                </c:pt>
                <c:pt idx="83">
                  <c:v>4.1500000000000004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4.3499999999999996</c:v>
                </c:pt>
                <c:pt idx="88">
                  <c:v>4.4000000000000004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4.5999999999999996</c:v>
                </c:pt>
                <c:pt idx="93">
                  <c:v>4.6500000000000004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4.8499999999999996</c:v>
                </c:pt>
                <c:pt idx="98">
                  <c:v>4.9000000000000004</c:v>
                </c:pt>
                <c:pt idx="99">
                  <c:v>4.95</c:v>
                </c:pt>
                <c:pt idx="100">
                  <c:v>5</c:v>
                </c:pt>
                <c:pt idx="101">
                  <c:v>5.05</c:v>
                </c:pt>
                <c:pt idx="102">
                  <c:v>5.0999999999999996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</c:v>
                </c:pt>
                <c:pt idx="161">
                  <c:v>8.0500000000000007</c:v>
                </c:pt>
                <c:pt idx="162">
                  <c:v>8.1</c:v>
                </c:pt>
                <c:pt idx="163">
                  <c:v>8.15</c:v>
                </c:pt>
                <c:pt idx="164">
                  <c:v>8.1999999999999993</c:v>
                </c:pt>
                <c:pt idx="165">
                  <c:v>8.25</c:v>
                </c:pt>
                <c:pt idx="166">
                  <c:v>8.3000000000000007</c:v>
                </c:pt>
                <c:pt idx="167">
                  <c:v>8.35</c:v>
                </c:pt>
                <c:pt idx="168">
                  <c:v>8.4</c:v>
                </c:pt>
                <c:pt idx="169">
                  <c:v>8.4499999999999993</c:v>
                </c:pt>
                <c:pt idx="170">
                  <c:v>8.5</c:v>
                </c:pt>
                <c:pt idx="171">
                  <c:v>8.5500000000000007</c:v>
                </c:pt>
                <c:pt idx="172">
                  <c:v>8.6</c:v>
                </c:pt>
                <c:pt idx="173">
                  <c:v>8.65</c:v>
                </c:pt>
                <c:pt idx="174">
                  <c:v>8.6999999999999993</c:v>
                </c:pt>
                <c:pt idx="175">
                  <c:v>8.75</c:v>
                </c:pt>
                <c:pt idx="176">
                  <c:v>8.8000000000000007</c:v>
                </c:pt>
                <c:pt idx="177">
                  <c:v>8.85</c:v>
                </c:pt>
                <c:pt idx="178">
                  <c:v>8.9</c:v>
                </c:pt>
                <c:pt idx="179">
                  <c:v>8.9499999999999993</c:v>
                </c:pt>
                <c:pt idx="180">
                  <c:v>9</c:v>
                </c:pt>
                <c:pt idx="181">
                  <c:v>9.0500000000000007</c:v>
                </c:pt>
                <c:pt idx="182">
                  <c:v>9.1</c:v>
                </c:pt>
                <c:pt idx="183">
                  <c:v>9.15</c:v>
                </c:pt>
                <c:pt idx="184">
                  <c:v>9.1999999999999993</c:v>
                </c:pt>
                <c:pt idx="185">
                  <c:v>9.25</c:v>
                </c:pt>
                <c:pt idx="186">
                  <c:v>9.3000000000000007</c:v>
                </c:pt>
                <c:pt idx="187">
                  <c:v>9.35</c:v>
                </c:pt>
                <c:pt idx="188">
                  <c:v>9.4</c:v>
                </c:pt>
                <c:pt idx="189">
                  <c:v>9.4499999999999993</c:v>
                </c:pt>
                <c:pt idx="190">
                  <c:v>9.5</c:v>
                </c:pt>
                <c:pt idx="191">
                  <c:v>9.5500000000000007</c:v>
                </c:pt>
                <c:pt idx="192">
                  <c:v>9.6</c:v>
                </c:pt>
                <c:pt idx="193">
                  <c:v>9.65</c:v>
                </c:pt>
                <c:pt idx="194">
                  <c:v>9.6999999999999993</c:v>
                </c:pt>
                <c:pt idx="195">
                  <c:v>9.75</c:v>
                </c:pt>
                <c:pt idx="196">
                  <c:v>9.8000000000000007</c:v>
                </c:pt>
                <c:pt idx="197">
                  <c:v>9.85</c:v>
                </c:pt>
                <c:pt idx="198">
                  <c:v>9.9</c:v>
                </c:pt>
                <c:pt idx="199">
                  <c:v>9.9499999999999993</c:v>
                </c:pt>
                <c:pt idx="200">
                  <c:v>10</c:v>
                </c:pt>
                <c:pt idx="201">
                  <c:v>10.050000000000001</c:v>
                </c:pt>
                <c:pt idx="202">
                  <c:v>10.1</c:v>
                </c:pt>
                <c:pt idx="203">
                  <c:v>10.15</c:v>
                </c:pt>
                <c:pt idx="204">
                  <c:v>10.199999999999999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</c:numCache>
            </c:numRef>
          </c:cat>
          <c:val>
            <c:numRef>
              <c:f>'Csillapitott szabad rezgés'!$D$11:$D$242</c:f>
              <c:numCache>
                <c:formatCode>0.00E+00</c:formatCode>
                <c:ptCount val="232"/>
                <c:pt idx="0">
                  <c:v>0.44590000000000002</c:v>
                </c:pt>
                <c:pt idx="1">
                  <c:v>0.36591778565293009</c:v>
                </c:pt>
                <c:pt idx="2">
                  <c:v>0.23402964449739225</c:v>
                </c:pt>
                <c:pt idx="3">
                  <c:v>0.1264314659896722</c:v>
                </c:pt>
                <c:pt idx="4">
                  <c:v>5.7837069219497828E-2</c:v>
                </c:pt>
                <c:pt idx="5">
                  <c:v>2.0879811520345799E-2</c:v>
                </c:pt>
                <c:pt idx="6">
                  <c:v>4.0267068420487629E-3</c:v>
                </c:pt>
                <c:pt idx="7">
                  <c:v>-2.0239086315120341E-3</c:v>
                </c:pt>
                <c:pt idx="8">
                  <c:v>-3.1640296403651087E-3</c:v>
                </c:pt>
                <c:pt idx="9">
                  <c:v>-2.551040363499746E-3</c:v>
                </c:pt>
                <c:pt idx="10">
                  <c:v>-1.6156189544632494E-3</c:v>
                </c:pt>
                <c:pt idx="11">
                  <c:v>-8.6563749106346956E-4</c:v>
                </c:pt>
                <c:pt idx="12">
                  <c:v>-3.9216602982668967E-4</c:v>
                </c:pt>
                <c:pt idx="13">
                  <c:v>-1.3916756796683032E-4</c:v>
                </c:pt>
                <c:pt idx="14">
                  <c:v>-2.4917580035182607E-5</c:v>
                </c:pt>
                <c:pt idx="15">
                  <c:v>1.5392471556357528E-5</c:v>
                </c:pt>
                <c:pt idx="16">
                  <c:v>2.2420231460634783E-5</c:v>
                </c:pt>
                <c:pt idx="17">
                  <c:v>1.7773948504181594E-5</c:v>
                </c:pt>
                <c:pt idx="18">
                  <c:v>1.1148467826311643E-5</c:v>
                </c:pt>
                <c:pt idx="19">
                  <c:v>5.9241294619917915E-6</c:v>
                </c:pt>
                <c:pt idx="20">
                  <c:v>2.6574415224309388E-6</c:v>
                </c:pt>
                <c:pt idx="21">
                  <c:v>9.2625810769553539E-7</c:v>
                </c:pt>
                <c:pt idx="22">
                  <c:v>1.5222425478519607E-7</c:v>
                </c:pt>
                <c:pt idx="23">
                  <c:v>-1.1593741009923681E-7</c:v>
                </c:pt>
                <c:pt idx="24">
                  <c:v>-1.5866155232783511E-7</c:v>
                </c:pt>
                <c:pt idx="25">
                  <c:v>-1.2376287515449745E-7</c:v>
                </c:pt>
                <c:pt idx="26">
                  <c:v>-7.6895525984836168E-8</c:v>
                </c:pt>
                <c:pt idx="27">
                  <c:v>-4.0524616107878616E-8</c:v>
                </c:pt>
                <c:pt idx="28">
                  <c:v>-1.7996152570531611E-8</c:v>
                </c:pt>
                <c:pt idx="29">
                  <c:v>-6.1555564165091096E-9</c:v>
                </c:pt>
                <c:pt idx="30">
                  <c:v>-9.1492929530304736E-10</c:v>
                </c:pt>
                <c:pt idx="31">
                  <c:v>8.6624672279022181E-10</c:v>
                </c:pt>
                <c:pt idx="32">
                  <c:v>1.1214178032059452E-9</c:v>
                </c:pt>
                <c:pt idx="33">
                  <c:v>8.6127801891454911E-10</c:v>
                </c:pt>
                <c:pt idx="34">
                  <c:v>5.3014892816665846E-10</c:v>
                </c:pt>
                <c:pt idx="35">
                  <c:v>2.7708770761622942E-10</c:v>
                </c:pt>
                <c:pt idx="36">
                  <c:v>1.2178936904843113E-10</c:v>
                </c:pt>
                <c:pt idx="37">
                  <c:v>4.084113634369761E-11</c:v>
                </c:pt>
                <c:pt idx="38">
                  <c:v>5.3828754261912483E-12</c:v>
                </c:pt>
                <c:pt idx="39">
                  <c:v>-6.4283763281513623E-12</c:v>
                </c:pt>
                <c:pt idx="40">
                  <c:v>-7.9169217512842936E-12</c:v>
                </c:pt>
                <c:pt idx="41">
                  <c:v>-5.9903058551438612E-12</c:v>
                </c:pt>
                <c:pt idx="42">
                  <c:v>-3.6534801023127356E-12</c:v>
                </c:pt>
                <c:pt idx="43">
                  <c:v>-1.8937275178273845E-12</c:v>
                </c:pt>
                <c:pt idx="44">
                  <c:v>-8.2365202879185327E-13</c:v>
                </c:pt>
                <c:pt idx="45">
                  <c:v>-2.705027853914883E-13</c:v>
                </c:pt>
                <c:pt idx="46">
                  <c:v>-3.0755797450942131E-14</c:v>
                </c:pt>
                <c:pt idx="47">
                  <c:v>4.7426803262706472E-14</c:v>
                </c:pt>
                <c:pt idx="48">
                  <c:v>5.5829629044113769E-14</c:v>
                </c:pt>
                <c:pt idx="49">
                  <c:v>4.1640220984499967E-14</c:v>
                </c:pt>
                <c:pt idx="50">
                  <c:v>2.5166834552354099E-14</c:v>
                </c:pt>
                <c:pt idx="51">
                  <c:v>1.2936514909690518E-14</c:v>
                </c:pt>
                <c:pt idx="52">
                  <c:v>5.5663825844967532E-15</c:v>
                </c:pt>
                <c:pt idx="53">
                  <c:v>1.7882599847004786E-15</c:v>
                </c:pt>
                <c:pt idx="54">
                  <c:v>1.6838905620266956E-16</c:v>
                </c:pt>
                <c:pt idx="55">
                  <c:v>-3.4813262006318058E-16</c:v>
                </c:pt>
                <c:pt idx="56">
                  <c:v>-3.9329331362296403E-16</c:v>
                </c:pt>
                <c:pt idx="57">
                  <c:v>-2.8929490633209357E-16</c:v>
                </c:pt>
                <c:pt idx="58">
                  <c:v>-1.7328629308443803E-16</c:v>
                </c:pt>
                <c:pt idx="59">
                  <c:v>-8.8331203750992883E-17</c:v>
                </c:pt>
                <c:pt idx="60">
                  <c:v>-3.7591240987079294E-17</c:v>
                </c:pt>
                <c:pt idx="61">
                  <c:v>-1.1797997956777347E-17</c:v>
                </c:pt>
                <c:pt idx="62">
                  <c:v>-8.6124600916114788E-19</c:v>
                </c:pt>
                <c:pt idx="63">
                  <c:v>2.5441069609760574E-18</c:v>
                </c:pt>
                <c:pt idx="64">
                  <c:v>2.7677933066265538E-18</c:v>
                </c:pt>
                <c:pt idx="65">
                  <c:v>2.0088025469654141E-18</c:v>
                </c:pt>
                <c:pt idx="66">
                  <c:v>1.1926533078309553E-18</c:v>
                </c:pt>
                <c:pt idx="67">
                  <c:v>6.0284451192172401E-19</c:v>
                </c:pt>
                <c:pt idx="68">
                  <c:v>2.5367239288433756E-19</c:v>
                </c:pt>
                <c:pt idx="69">
                  <c:v>7.7665687784935376E-20</c:v>
                </c:pt>
                <c:pt idx="70">
                  <c:v>3.8811567208809016E-21</c:v>
                </c:pt>
                <c:pt idx="71">
                  <c:v>-1.8519045221234643E-20</c:v>
                </c:pt>
                <c:pt idx="72">
                  <c:v>-1.9459692888968429E-20</c:v>
                </c:pt>
                <c:pt idx="73">
                  <c:v>-1.3941420888750317E-20</c:v>
                </c:pt>
                <c:pt idx="74">
                  <c:v>-8.2050091354820074E-21</c:v>
                </c:pt>
                <c:pt idx="75">
                  <c:v>-4.1123285207695412E-21</c:v>
                </c:pt>
                <c:pt idx="76">
                  <c:v>-1.7104892878233616E-21</c:v>
                </c:pt>
                <c:pt idx="77">
                  <c:v>-5.1004288185496951E-22</c:v>
                </c:pt>
                <c:pt idx="78">
                  <c:v>-1.2651052686344102E-23</c:v>
                </c:pt>
                <c:pt idx="79">
                  <c:v>1.3433200226090619E-22</c:v>
                </c:pt>
                <c:pt idx="80">
                  <c:v>1.3669160259379705E-22</c:v>
                </c:pt>
                <c:pt idx="81">
                  <c:v>9.6706229422252253E-23</c:v>
                </c:pt>
                <c:pt idx="82">
                  <c:v>5.6423375829429442E-23</c:v>
                </c:pt>
                <c:pt idx="83">
                  <c:v>2.8038733509344225E-23</c:v>
                </c:pt>
                <c:pt idx="84">
                  <c:v>1.1524306115100945E-23</c:v>
                </c:pt>
                <c:pt idx="85">
                  <c:v>3.3407261825812045E-24</c:v>
                </c:pt>
                <c:pt idx="86">
                  <c:v>-9.5039997040005482E-27</c:v>
                </c:pt>
                <c:pt idx="87">
                  <c:v>-9.7134494719687558E-25</c:v>
                </c:pt>
                <c:pt idx="88">
                  <c:v>-9.5932995439938279E-25</c:v>
                </c:pt>
                <c:pt idx="89">
                  <c:v>-6.7047637434401286E-25</c:v>
                </c:pt>
                <c:pt idx="90">
                  <c:v>-3.8784156598613349E-25</c:v>
                </c:pt>
                <c:pt idx="91">
                  <c:v>-1.9107928109935739E-25</c:v>
                </c:pt>
                <c:pt idx="92">
                  <c:v>-7.7578616353610588E-26</c:v>
                </c:pt>
                <c:pt idx="93">
                  <c:v>-2.1818034456323041E-26</c:v>
                </c:pt>
                <c:pt idx="94">
                  <c:v>7.2843124877654743E-28</c:v>
                </c:pt>
                <c:pt idx="95">
                  <c:v>7.0037778418125137E-27</c:v>
                </c:pt>
                <c:pt idx="96">
                  <c:v>6.7271317673783488E-27</c:v>
                </c:pt>
                <c:pt idx="97">
                  <c:v>4.6461992523243405E-27</c:v>
                </c:pt>
                <c:pt idx="98">
                  <c:v>2.6648017741159669E-27</c:v>
                </c:pt>
                <c:pt idx="99">
                  <c:v>1.3015164384802625E-27</c:v>
                </c:pt>
                <c:pt idx="100">
                  <c:v>5.2177875579733711E-28</c:v>
                </c:pt>
                <c:pt idx="101">
                  <c:v>1.4203483780533129E-28</c:v>
                </c:pt>
                <c:pt idx="102">
                  <c:v>-9.5633446502114437E-30</c:v>
                </c:pt>
                <c:pt idx="103">
                  <c:v>-5.0369634628282398E-29</c:v>
                </c:pt>
                <c:pt idx="104">
                  <c:v>-4.713481974273142E-29</c:v>
                </c:pt>
                <c:pt idx="105">
                  <c:v>-3.2181104000064347E-29</c:v>
                </c:pt>
                <c:pt idx="106">
                  <c:v>-1.8301663464923034E-29</c:v>
                </c:pt>
                <c:pt idx="107">
                  <c:v>-8.8605874878164769E-30</c:v>
                </c:pt>
                <c:pt idx="108">
                  <c:v>-3.5061525036377764E-30</c:v>
                </c:pt>
                <c:pt idx="109">
                  <c:v>-9.2133570999904213E-31</c:v>
                </c:pt>
                <c:pt idx="110">
                  <c:v>9.7029734252162348E-32</c:v>
                </c:pt>
                <c:pt idx="111">
                  <c:v>3.6139313571786337E-31</c:v>
                </c:pt>
                <c:pt idx="112">
                  <c:v>3.3000223569603811E-31</c:v>
                </c:pt>
                <c:pt idx="113">
                  <c:v>2.2279014739106702E-31</c:v>
                </c:pt>
                <c:pt idx="114">
                  <c:v>1.2564088596741924E-31</c:v>
                </c:pt>
                <c:pt idx="115">
                  <c:v>6.0290351915398348E-32</c:v>
                </c:pt>
                <c:pt idx="116">
                  <c:v>2.3537300497637082E-32</c:v>
                </c:pt>
                <c:pt idx="117">
                  <c:v>5.9524107211211806E-33</c:v>
                </c:pt>
                <c:pt idx="118">
                  <c:v>-8.8179909445294679E-34</c:v>
                </c:pt>
                <c:pt idx="119">
                  <c:v>-2.5873185932063107E-33</c:v>
                </c:pt>
                <c:pt idx="120">
                  <c:v>-2.3086981861575681E-33</c:v>
                </c:pt>
                <c:pt idx="121">
                  <c:v>-1.5416503610772554E-33</c:v>
                </c:pt>
                <c:pt idx="122">
                  <c:v>-8.6215568110348252E-34</c:v>
                </c:pt>
                <c:pt idx="123">
                  <c:v>-4.1001606248237168E-34</c:v>
                </c:pt>
                <c:pt idx="124">
                  <c:v>-1.5784965050887093E-34</c:v>
                </c:pt>
                <c:pt idx="125">
                  <c:v>-3.8281454489224369E-35</c:v>
                </c:pt>
                <c:pt idx="126">
                  <c:v>7.535586233865758E-36</c:v>
                </c:pt>
                <c:pt idx="127">
                  <c:v>1.848640218788146E-35</c:v>
                </c:pt>
                <c:pt idx="128">
                  <c:v>1.6140014331467809E-35</c:v>
                </c:pt>
                <c:pt idx="129">
                  <c:v>1.0662851560424989E-35</c:v>
                </c:pt>
                <c:pt idx="130">
                  <c:v>5.9136283499653519E-36</c:v>
                </c:pt>
                <c:pt idx="131">
                  <c:v>2.7868695068783309E-36</c:v>
                </c:pt>
                <c:pt idx="132">
                  <c:v>1.0574734803713529E-36</c:v>
                </c:pt>
                <c:pt idx="133">
                  <c:v>2.4491863123182348E-37</c:v>
                </c:pt>
                <c:pt idx="134">
                  <c:v>-6.191073493281847E-38</c:v>
                </c:pt>
                <c:pt idx="135">
                  <c:v>-1.3184144932255459E-37</c:v>
                </c:pt>
                <c:pt idx="136">
                  <c:v>-1.12755450874487E-37</c:v>
                </c:pt>
                <c:pt idx="137">
                  <c:v>-7.3715850746550262E-38</c:v>
                </c:pt>
                <c:pt idx="138">
                  <c:v>-4.0544801249105472E-38</c:v>
                </c:pt>
                <c:pt idx="139">
                  <c:v>-1.8931703476561273E-38</c:v>
                </c:pt>
                <c:pt idx="140">
                  <c:v>-7.0763587010909512E-39</c:v>
                </c:pt>
                <c:pt idx="141">
                  <c:v>-1.5575525894343895E-39</c:v>
                </c:pt>
                <c:pt idx="142">
                  <c:v>4.9489848884561291E-40</c:v>
                </c:pt>
                <c:pt idx="143">
                  <c:v>9.3865426666764572E-40</c:v>
                </c:pt>
                <c:pt idx="144">
                  <c:v>7.8718660913452047E-40</c:v>
                </c:pt>
                <c:pt idx="145">
                  <c:v>5.0939034703118203E-40</c:v>
                </c:pt>
                <c:pt idx="146">
                  <c:v>2.7786136273405423E-40</c:v>
                </c:pt>
                <c:pt idx="147">
                  <c:v>1.2853287882418862E-40</c:v>
                </c:pt>
                <c:pt idx="148">
                  <c:v>4.729746435462703E-41</c:v>
                </c:pt>
                <c:pt idx="149">
                  <c:v>9.8357994950622347E-42</c:v>
                </c:pt>
                <c:pt idx="150">
                  <c:v>-3.8770280703862786E-42</c:v>
                </c:pt>
                <c:pt idx="151">
                  <c:v>-6.6721232758270422E-42</c:v>
                </c:pt>
                <c:pt idx="152">
                  <c:v>-5.492035377110583E-42</c:v>
                </c:pt>
                <c:pt idx="153">
                  <c:v>-3.5183975666254196E-42</c:v>
                </c:pt>
                <c:pt idx="154">
                  <c:v>-1.9034077605307155E-42</c:v>
                </c:pt>
                <c:pt idx="155">
                  <c:v>-8.7213559266369114E-43</c:v>
                </c:pt>
                <c:pt idx="156">
                  <c:v>-3.1573589061844447E-43</c:v>
                </c:pt>
                <c:pt idx="157">
                  <c:v>-6.1596429264931946E-44</c:v>
                </c:pt>
                <c:pt idx="158">
                  <c:v>2.9905226229390069E-44</c:v>
                </c:pt>
                <c:pt idx="159">
                  <c:v>4.7355699730923086E-44</c:v>
                </c:pt>
                <c:pt idx="160">
                  <c:v>3.8292414455067957E-44</c:v>
                </c:pt>
                <c:pt idx="161">
                  <c:v>2.4290997571039569E-44</c:v>
                </c:pt>
                <c:pt idx="162">
                  <c:v>1.3033014479746431E-44</c:v>
                </c:pt>
                <c:pt idx="163">
                  <c:v>5.9141496749534973E-45</c:v>
                </c:pt>
                <c:pt idx="164">
                  <c:v>2.1049189887009978E-45</c:v>
                </c:pt>
                <c:pt idx="165">
                  <c:v>3.8188692388143715E-46</c:v>
                </c:pt>
                <c:pt idx="166">
                  <c:v>-2.2785319059499848E-46</c:v>
                </c:pt>
                <c:pt idx="167">
                  <c:v>-3.3563757747751634E-46</c:v>
                </c:pt>
                <c:pt idx="168">
                  <c:v>-2.6682327278785592E-46</c:v>
                </c:pt>
                <c:pt idx="169">
                  <c:v>-1.676307562818248E-46</c:v>
                </c:pt>
                <c:pt idx="170">
                  <c:v>-8.9200191878639558E-47</c:v>
                </c:pt>
                <c:pt idx="171">
                  <c:v>-4.0080388839661824E-47</c:v>
                </c:pt>
                <c:pt idx="172">
                  <c:v>-1.4013151942321659E-47</c:v>
                </c:pt>
                <c:pt idx="173">
                  <c:v>-2.3385130871647507E-48</c:v>
                </c:pt>
                <c:pt idx="174">
                  <c:v>1.7187843640920261E-48</c:v>
                </c:pt>
                <c:pt idx="175">
                  <c:v>2.3757199133646267E-48</c:v>
                </c:pt>
                <c:pt idx="176">
                  <c:v>1.8581184234466266E-48</c:v>
                </c:pt>
                <c:pt idx="177">
                  <c:v>1.1563025058959409E-48</c:v>
                </c:pt>
                <c:pt idx="178">
                  <c:v>6.1022906053815891E-49</c:v>
                </c:pt>
                <c:pt idx="179">
                  <c:v>2.7145328633433918E-49</c:v>
                </c:pt>
                <c:pt idx="180">
                  <c:v>9.3150422390639262E-50</c:v>
                </c:pt>
                <c:pt idx="181">
                  <c:v>1.4098132692117821E-50</c:v>
                </c:pt>
                <c:pt idx="182">
                  <c:v>-1.2858351564469608E-50</c:v>
                </c:pt>
                <c:pt idx="183">
                  <c:v>-1.679495619094612E-50</c:v>
                </c:pt>
                <c:pt idx="184">
                  <c:v>-1.2932083344857617E-50</c:v>
                </c:pt>
                <c:pt idx="185">
                  <c:v>-7.9725996086423721E-51</c:v>
                </c:pt>
                <c:pt idx="186">
                  <c:v>-4.1727685663778934E-51</c:v>
                </c:pt>
                <c:pt idx="187">
                  <c:v>-1.8372722131422716E-51</c:v>
                </c:pt>
                <c:pt idx="188">
                  <c:v>-6.1821159996852737E-52</c:v>
                </c:pt>
                <c:pt idx="189">
                  <c:v>-8.3280539684384278E-53</c:v>
                </c:pt>
                <c:pt idx="190">
                  <c:v>9.5523375450089791E-53</c:v>
                </c:pt>
                <c:pt idx="191">
                  <c:v>1.1859079903017369E-52</c:v>
                </c:pt>
                <c:pt idx="192">
                  <c:v>8.9952918134849829E-53</c:v>
                </c:pt>
                <c:pt idx="193">
                  <c:v>5.4946534790858656E-53</c:v>
                </c:pt>
                <c:pt idx="194">
                  <c:v>2.8520554017051899E-53</c:v>
                </c:pt>
                <c:pt idx="195">
                  <c:v>1.2426767165809495E-53</c:v>
                </c:pt>
                <c:pt idx="196">
                  <c:v>4.095830983426577E-54</c:v>
                </c:pt>
                <c:pt idx="197">
                  <c:v>4.7853249575897063E-55</c:v>
                </c:pt>
                <c:pt idx="198">
                  <c:v>-7.0539579648728916E-55</c:v>
                </c:pt>
                <c:pt idx="199">
                  <c:v>-8.3644685332061165E-55</c:v>
                </c:pt>
                <c:pt idx="200">
                  <c:v>-6.2534470723747149E-55</c:v>
                </c:pt>
                <c:pt idx="201">
                  <c:v>-3.7852407365144242E-55</c:v>
                </c:pt>
                <c:pt idx="202">
                  <c:v>-1.9484604377201778E-55</c:v>
                </c:pt>
                <c:pt idx="203">
                  <c:v>-8.3992285665458932E-56</c:v>
                </c:pt>
                <c:pt idx="204">
                  <c:v>-2.7085834571224631E-56</c:v>
                </c:pt>
                <c:pt idx="205">
                  <c:v>-2.6422924466370486E-57</c:v>
                </c:pt>
                <c:pt idx="206">
                  <c:v>5.1820668490717985E-57</c:v>
                </c:pt>
                <c:pt idx="207">
                  <c:v>5.893391216675802E-57</c:v>
                </c:pt>
                <c:pt idx="208">
                  <c:v>4.3449678081497614E-57</c:v>
                </c:pt>
                <c:pt idx="209">
                  <c:v>2.606515739846952E-57</c:v>
                </c:pt>
                <c:pt idx="210">
                  <c:v>1.3305240149377456E-57</c:v>
                </c:pt>
                <c:pt idx="211">
                  <c:v>5.6729218207236988E-58</c:v>
                </c:pt>
                <c:pt idx="212">
                  <c:v>1.7876104651023729E-58</c:v>
                </c:pt>
                <c:pt idx="213">
                  <c:v>1.3706873646224394E-59</c:v>
                </c:pt>
                <c:pt idx="214">
                  <c:v>-3.7896674112047296E-59</c:v>
                </c:pt>
                <c:pt idx="215">
                  <c:v>-4.1481450217872105E-59</c:v>
                </c:pt>
                <c:pt idx="216">
                  <c:v>-3.017321171158481E-59</c:v>
                </c:pt>
                <c:pt idx="217">
                  <c:v>-1.7940787157439609E-59</c:v>
                </c:pt>
                <c:pt idx="218">
                  <c:v>-9.0813126427270171E-60</c:v>
                </c:pt>
                <c:pt idx="219">
                  <c:v>-3.8286803173098334E-60</c:v>
                </c:pt>
                <c:pt idx="220">
                  <c:v>-1.1772268980730202E-60</c:v>
                </c:pt>
                <c:pt idx="221">
                  <c:v>-6.3548199185013003E-62</c:v>
                </c:pt>
                <c:pt idx="222">
                  <c:v>2.7603060288071728E-61</c:v>
                </c:pt>
                <c:pt idx="223">
                  <c:v>2.916920519073867E-61</c:v>
                </c:pt>
                <c:pt idx="224">
                  <c:v>2.0942527226101993E-61</c:v>
                </c:pt>
                <c:pt idx="225">
                  <c:v>1.2343474282532457E-61</c:v>
                </c:pt>
                <c:pt idx="226">
                  <c:v>6.1953576397051589E-62</c:v>
                </c:pt>
                <c:pt idx="227">
                  <c:v>2.5819876520978377E-62</c:v>
                </c:pt>
                <c:pt idx="228">
                  <c:v>7.734272939067162E-63</c:v>
                </c:pt>
                <c:pt idx="229">
                  <c:v>2.2579555056947455E-64</c:v>
                </c:pt>
                <c:pt idx="230">
                  <c:v>-2.003374849197664E-63</c:v>
                </c:pt>
                <c:pt idx="231">
                  <c:v>-2.0492541501891009E-63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F7-4544-9201-D666FE4145A2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'Csillapitott szabad rezgés'!$A$11:$A$242</c:f>
              <c:numCache>
                <c:formatCode>General</c:formatCode>
                <c:ptCount val="232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  <c:pt idx="21">
                  <c:v>1.05</c:v>
                </c:pt>
                <c:pt idx="22">
                  <c:v>1.1000000000000001</c:v>
                </c:pt>
                <c:pt idx="23">
                  <c:v>1.1499999999999999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</c:v>
                </c:pt>
                <c:pt idx="41">
                  <c:v>2.0499999999999998</c:v>
                </c:pt>
                <c:pt idx="42">
                  <c:v>2.1</c:v>
                </c:pt>
                <c:pt idx="43">
                  <c:v>2.15</c:v>
                </c:pt>
                <c:pt idx="44">
                  <c:v>2.2000000000000002</c:v>
                </c:pt>
                <c:pt idx="45">
                  <c:v>2.25</c:v>
                </c:pt>
                <c:pt idx="46">
                  <c:v>2.2999999999999998</c:v>
                </c:pt>
                <c:pt idx="47">
                  <c:v>2.35</c:v>
                </c:pt>
                <c:pt idx="48">
                  <c:v>2.4</c:v>
                </c:pt>
                <c:pt idx="49">
                  <c:v>2.4500000000000002</c:v>
                </c:pt>
                <c:pt idx="50">
                  <c:v>2.5</c:v>
                </c:pt>
                <c:pt idx="51">
                  <c:v>2.5499999999999998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</c:v>
                </c:pt>
                <c:pt idx="81">
                  <c:v>4.05</c:v>
                </c:pt>
                <c:pt idx="82">
                  <c:v>4.0999999999999996</c:v>
                </c:pt>
                <c:pt idx="83">
                  <c:v>4.1500000000000004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4.3499999999999996</c:v>
                </c:pt>
                <c:pt idx="88">
                  <c:v>4.4000000000000004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4.5999999999999996</c:v>
                </c:pt>
                <c:pt idx="93">
                  <c:v>4.6500000000000004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4.8499999999999996</c:v>
                </c:pt>
                <c:pt idx="98">
                  <c:v>4.9000000000000004</c:v>
                </c:pt>
                <c:pt idx="99">
                  <c:v>4.95</c:v>
                </c:pt>
                <c:pt idx="100">
                  <c:v>5</c:v>
                </c:pt>
                <c:pt idx="101">
                  <c:v>5.05</c:v>
                </c:pt>
                <c:pt idx="102">
                  <c:v>5.0999999999999996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</c:v>
                </c:pt>
                <c:pt idx="161">
                  <c:v>8.0500000000000007</c:v>
                </c:pt>
                <c:pt idx="162">
                  <c:v>8.1</c:v>
                </c:pt>
                <c:pt idx="163">
                  <c:v>8.15</c:v>
                </c:pt>
                <c:pt idx="164">
                  <c:v>8.1999999999999993</c:v>
                </c:pt>
                <c:pt idx="165">
                  <c:v>8.25</c:v>
                </c:pt>
                <c:pt idx="166">
                  <c:v>8.3000000000000007</c:v>
                </c:pt>
                <c:pt idx="167">
                  <c:v>8.35</c:v>
                </c:pt>
                <c:pt idx="168">
                  <c:v>8.4</c:v>
                </c:pt>
                <c:pt idx="169">
                  <c:v>8.4499999999999993</c:v>
                </c:pt>
                <c:pt idx="170">
                  <c:v>8.5</c:v>
                </c:pt>
                <c:pt idx="171">
                  <c:v>8.5500000000000007</c:v>
                </c:pt>
                <c:pt idx="172">
                  <c:v>8.6</c:v>
                </c:pt>
                <c:pt idx="173">
                  <c:v>8.65</c:v>
                </c:pt>
                <c:pt idx="174">
                  <c:v>8.6999999999999993</c:v>
                </c:pt>
                <c:pt idx="175">
                  <c:v>8.75</c:v>
                </c:pt>
                <c:pt idx="176">
                  <c:v>8.8000000000000007</c:v>
                </c:pt>
                <c:pt idx="177">
                  <c:v>8.85</c:v>
                </c:pt>
                <c:pt idx="178">
                  <c:v>8.9</c:v>
                </c:pt>
                <c:pt idx="179">
                  <c:v>8.9499999999999993</c:v>
                </c:pt>
                <c:pt idx="180">
                  <c:v>9</c:v>
                </c:pt>
                <c:pt idx="181">
                  <c:v>9.0500000000000007</c:v>
                </c:pt>
                <c:pt idx="182">
                  <c:v>9.1</c:v>
                </c:pt>
                <c:pt idx="183">
                  <c:v>9.15</c:v>
                </c:pt>
                <c:pt idx="184">
                  <c:v>9.1999999999999993</c:v>
                </c:pt>
                <c:pt idx="185">
                  <c:v>9.25</c:v>
                </c:pt>
                <c:pt idx="186">
                  <c:v>9.3000000000000007</c:v>
                </c:pt>
                <c:pt idx="187">
                  <c:v>9.35</c:v>
                </c:pt>
                <c:pt idx="188">
                  <c:v>9.4</c:v>
                </c:pt>
                <c:pt idx="189">
                  <c:v>9.4499999999999993</c:v>
                </c:pt>
                <c:pt idx="190">
                  <c:v>9.5</c:v>
                </c:pt>
                <c:pt idx="191">
                  <c:v>9.5500000000000007</c:v>
                </c:pt>
                <c:pt idx="192">
                  <c:v>9.6</c:v>
                </c:pt>
                <c:pt idx="193">
                  <c:v>9.65</c:v>
                </c:pt>
                <c:pt idx="194">
                  <c:v>9.6999999999999993</c:v>
                </c:pt>
                <c:pt idx="195">
                  <c:v>9.75</c:v>
                </c:pt>
                <c:pt idx="196">
                  <c:v>9.8000000000000007</c:v>
                </c:pt>
                <c:pt idx="197">
                  <c:v>9.85</c:v>
                </c:pt>
                <c:pt idx="198">
                  <c:v>9.9</c:v>
                </c:pt>
                <c:pt idx="199">
                  <c:v>9.9499999999999993</c:v>
                </c:pt>
                <c:pt idx="200">
                  <c:v>10</c:v>
                </c:pt>
                <c:pt idx="201">
                  <c:v>10.050000000000001</c:v>
                </c:pt>
                <c:pt idx="202">
                  <c:v>10.1</c:v>
                </c:pt>
                <c:pt idx="203">
                  <c:v>10.15</c:v>
                </c:pt>
                <c:pt idx="204">
                  <c:v>10.199999999999999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</c:numCache>
            </c:numRef>
          </c:cat>
          <c:val>
            <c:numRef>
              <c:f>'Csillapitott szabad rezgés'!$I$11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DF7-4544-9201-D666FE414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330816"/>
        <c:axId val="412322616"/>
      </c:lineChart>
      <c:catAx>
        <c:axId val="41233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12322616"/>
        <c:crosses val="autoZero"/>
        <c:auto val="1"/>
        <c:lblAlgn val="ctr"/>
        <c:lblOffset val="100"/>
        <c:noMultiLvlLbl val="0"/>
      </c:catAx>
      <c:valAx>
        <c:axId val="412322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12330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1587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4" Type="http://schemas.microsoft.com/office/2007/relationships/hdphoto" Target="../media/hdphoto20.wdp"/></Relationships>
</file>

<file path=xl/drawings/_rels/drawing11.xml.rels><?xml version="1.0" encoding="UTF-8" standalone="yes"?>
<Relationships xmlns="http://schemas.openxmlformats.org/package/2006/relationships"><Relationship Id="rId8" Type="http://schemas.microsoft.com/office/2007/relationships/hdphoto" Target="../media/hdphoto24.wdp"/><Relationship Id="rId3" Type="http://schemas.openxmlformats.org/officeDocument/2006/relationships/image" Target="../media/image39.png"/><Relationship Id="rId7" Type="http://schemas.openxmlformats.org/officeDocument/2006/relationships/image" Target="../media/image41.png"/><Relationship Id="rId12" Type="http://schemas.microsoft.com/office/2007/relationships/hdphoto" Target="../media/hdphoto26.wdp"/><Relationship Id="rId2" Type="http://schemas.microsoft.com/office/2007/relationships/hdphoto" Target="../media/hdphoto21.wdp"/><Relationship Id="rId1" Type="http://schemas.openxmlformats.org/officeDocument/2006/relationships/image" Target="../media/image38.png"/><Relationship Id="rId6" Type="http://schemas.microsoft.com/office/2007/relationships/hdphoto" Target="../media/hdphoto23.wdp"/><Relationship Id="rId11" Type="http://schemas.openxmlformats.org/officeDocument/2006/relationships/image" Target="../media/image43.png"/><Relationship Id="rId5" Type="http://schemas.openxmlformats.org/officeDocument/2006/relationships/image" Target="../media/image40.png"/><Relationship Id="rId10" Type="http://schemas.microsoft.com/office/2007/relationships/hdphoto" Target="../media/hdphoto25.wdp"/><Relationship Id="rId4" Type="http://schemas.microsoft.com/office/2007/relationships/hdphoto" Target="../media/hdphoto22.wdp"/><Relationship Id="rId9" Type="http://schemas.openxmlformats.org/officeDocument/2006/relationships/image" Target="../media/image4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45.png"/><Relationship Id="rId1" Type="http://schemas.openxmlformats.org/officeDocument/2006/relationships/image" Target="../media/image44.png"/><Relationship Id="rId4" Type="http://schemas.openxmlformats.org/officeDocument/2006/relationships/image" Target="../media/image47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png"/><Relationship Id="rId2" Type="http://schemas.openxmlformats.org/officeDocument/2006/relationships/image" Target="../media/image48.png"/><Relationship Id="rId1" Type="http://schemas.openxmlformats.org/officeDocument/2006/relationships/chart" Target="../charts/chart20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1.png"/><Relationship Id="rId2" Type="http://schemas.microsoft.com/office/2007/relationships/hdphoto" Target="../media/hdphoto27.wdp"/><Relationship Id="rId1" Type="http://schemas.openxmlformats.org/officeDocument/2006/relationships/image" Target="../media/image50.png"/><Relationship Id="rId5" Type="http://schemas.openxmlformats.org/officeDocument/2006/relationships/image" Target="../media/image52.png"/><Relationship Id="rId4" Type="http://schemas.microsoft.com/office/2007/relationships/hdphoto" Target="../media/hdphoto28.wdp"/></Relationships>
</file>

<file path=xl/drawings/_rels/drawing15.xml.rels><?xml version="1.0" encoding="UTF-8" standalone="yes"?>
<Relationships xmlns="http://schemas.openxmlformats.org/package/2006/relationships"><Relationship Id="rId8" Type="http://schemas.microsoft.com/office/2007/relationships/hdphoto" Target="../media/hdphoto32.wdp"/><Relationship Id="rId13" Type="http://schemas.openxmlformats.org/officeDocument/2006/relationships/image" Target="../media/image59.png"/><Relationship Id="rId18" Type="http://schemas.microsoft.com/office/2007/relationships/hdphoto" Target="../media/hdphoto37.wdp"/><Relationship Id="rId3" Type="http://schemas.openxmlformats.org/officeDocument/2006/relationships/image" Target="../media/image54.png"/><Relationship Id="rId7" Type="http://schemas.openxmlformats.org/officeDocument/2006/relationships/image" Target="../media/image56.png"/><Relationship Id="rId12" Type="http://schemas.microsoft.com/office/2007/relationships/hdphoto" Target="../media/hdphoto34.wdp"/><Relationship Id="rId17" Type="http://schemas.openxmlformats.org/officeDocument/2006/relationships/image" Target="../media/image61.png"/><Relationship Id="rId2" Type="http://schemas.microsoft.com/office/2007/relationships/hdphoto" Target="../media/hdphoto29.wdp"/><Relationship Id="rId16" Type="http://schemas.microsoft.com/office/2007/relationships/hdphoto" Target="../media/hdphoto36.wdp"/><Relationship Id="rId1" Type="http://schemas.openxmlformats.org/officeDocument/2006/relationships/image" Target="../media/image53.png"/><Relationship Id="rId6" Type="http://schemas.microsoft.com/office/2007/relationships/hdphoto" Target="../media/hdphoto31.wdp"/><Relationship Id="rId11" Type="http://schemas.openxmlformats.org/officeDocument/2006/relationships/image" Target="../media/image58.png"/><Relationship Id="rId5" Type="http://schemas.openxmlformats.org/officeDocument/2006/relationships/image" Target="../media/image55.png"/><Relationship Id="rId15" Type="http://schemas.openxmlformats.org/officeDocument/2006/relationships/image" Target="../media/image60.png"/><Relationship Id="rId10" Type="http://schemas.microsoft.com/office/2007/relationships/hdphoto" Target="../media/hdphoto33.wdp"/><Relationship Id="rId4" Type="http://schemas.microsoft.com/office/2007/relationships/hdphoto" Target="../media/hdphoto30.wdp"/><Relationship Id="rId9" Type="http://schemas.openxmlformats.org/officeDocument/2006/relationships/image" Target="../media/image57.png"/><Relationship Id="rId14" Type="http://schemas.microsoft.com/office/2007/relationships/hdphoto" Target="../media/hdphoto35.wdp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image" Target="../media/image63.png"/><Relationship Id="rId1" Type="http://schemas.openxmlformats.org/officeDocument/2006/relationships/image" Target="../media/image62.png"/><Relationship Id="rId4" Type="http://schemas.openxmlformats.org/officeDocument/2006/relationships/image" Target="../media/image64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7.emf"/><Relationship Id="rId2" Type="http://schemas.openxmlformats.org/officeDocument/2006/relationships/image" Target="../media/image66.emf"/><Relationship Id="rId1" Type="http://schemas.openxmlformats.org/officeDocument/2006/relationships/image" Target="../media/image65.emf"/><Relationship Id="rId4" Type="http://schemas.openxmlformats.org/officeDocument/2006/relationships/image" Target="../media/image68.emf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microsoft.com/office/2007/relationships/hdphoto" Target="../media/hdphoto1.wdp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71.png"/><Relationship Id="rId1" Type="http://schemas.openxmlformats.org/officeDocument/2006/relationships/image" Target="../media/image70.png"/><Relationship Id="rId4" Type="http://schemas.openxmlformats.org/officeDocument/2006/relationships/image" Target="../media/image72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74.png"/><Relationship Id="rId1" Type="http://schemas.openxmlformats.org/officeDocument/2006/relationships/image" Target="../media/image73.png"/><Relationship Id="rId4" Type="http://schemas.openxmlformats.org/officeDocument/2006/relationships/image" Target="../media/image75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77.png"/><Relationship Id="rId1" Type="http://schemas.openxmlformats.org/officeDocument/2006/relationships/image" Target="../media/image76.png"/><Relationship Id="rId4" Type="http://schemas.openxmlformats.org/officeDocument/2006/relationships/image" Target="../media/image78.pn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7.png"/><Relationship Id="rId3" Type="http://schemas.openxmlformats.org/officeDocument/2006/relationships/image" Target="../media/image82.png"/><Relationship Id="rId7" Type="http://schemas.openxmlformats.org/officeDocument/2006/relationships/image" Target="../media/image86.png"/><Relationship Id="rId2" Type="http://schemas.openxmlformats.org/officeDocument/2006/relationships/image" Target="../media/image81.png"/><Relationship Id="rId1" Type="http://schemas.openxmlformats.org/officeDocument/2006/relationships/image" Target="../media/image80.png"/><Relationship Id="rId6" Type="http://schemas.openxmlformats.org/officeDocument/2006/relationships/image" Target="../media/image85.png"/><Relationship Id="rId5" Type="http://schemas.openxmlformats.org/officeDocument/2006/relationships/image" Target="../media/image84.png"/><Relationship Id="rId4" Type="http://schemas.openxmlformats.org/officeDocument/2006/relationships/image" Target="../media/image8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07/relationships/hdphoto" Target="../media/hdphoto2.wdp"/><Relationship Id="rId1" Type="http://schemas.openxmlformats.org/officeDocument/2006/relationships/image" Target="../media/image4.png"/><Relationship Id="rId5" Type="http://schemas.openxmlformats.org/officeDocument/2006/relationships/image" Target="../media/image6.png"/><Relationship Id="rId4" Type="http://schemas.microsoft.com/office/2007/relationships/hdphoto" Target="../media/hdphoto3.wdp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7" Type="http://schemas.openxmlformats.org/officeDocument/2006/relationships/image" Target="../media/image11.png"/><Relationship Id="rId2" Type="http://schemas.microsoft.com/office/2007/relationships/hdphoto" Target="../media/hdphoto4.wdp"/><Relationship Id="rId1" Type="http://schemas.openxmlformats.org/officeDocument/2006/relationships/image" Target="../media/image8.png"/><Relationship Id="rId6" Type="http://schemas.microsoft.com/office/2007/relationships/hdphoto" Target="../media/hdphoto6.wdp"/><Relationship Id="rId5" Type="http://schemas.openxmlformats.org/officeDocument/2006/relationships/image" Target="../media/image10.png"/><Relationship Id="rId4" Type="http://schemas.microsoft.com/office/2007/relationships/hdphoto" Target="../media/hdphoto5.wdp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7" Type="http://schemas.openxmlformats.org/officeDocument/2006/relationships/chart" Target="../charts/chart7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6.xml"/><Relationship Id="rId5" Type="http://schemas.microsoft.com/office/2007/relationships/hdphoto" Target="../media/hdphoto7.wdp"/><Relationship Id="rId4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7" Type="http://schemas.openxmlformats.org/officeDocument/2006/relationships/image" Target="../media/image15.png"/><Relationship Id="rId2" Type="http://schemas.microsoft.com/office/2007/relationships/hdphoto" Target="../media/hdphoto8.wdp"/><Relationship Id="rId1" Type="http://schemas.openxmlformats.org/officeDocument/2006/relationships/image" Target="../media/image13.png"/><Relationship Id="rId6" Type="http://schemas.microsoft.com/office/2007/relationships/hdphoto" Target="../media/hdphoto9.wdp"/><Relationship Id="rId5" Type="http://schemas.openxmlformats.org/officeDocument/2006/relationships/image" Target="../media/image14.png"/><Relationship Id="rId4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microsoft.com/office/2007/relationships/hdphoto" Target="../media/hdphoto10.wdp"/><Relationship Id="rId7" Type="http://schemas.microsoft.com/office/2007/relationships/hdphoto" Target="../media/hdphoto12.wdp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19.png"/><Relationship Id="rId5" Type="http://schemas.microsoft.com/office/2007/relationships/hdphoto" Target="../media/hdphoto11.wdp"/><Relationship Id="rId4" Type="http://schemas.openxmlformats.org/officeDocument/2006/relationships/image" Target="../media/image18.png"/><Relationship Id="rId9" Type="http://schemas.microsoft.com/office/2007/relationships/hdphoto" Target="../media/hdphoto13.wdp"/></Relationships>
</file>

<file path=xl/drawings/_rels/drawing8.xml.rels><?xml version="1.0" encoding="UTF-8" standalone="yes"?>
<Relationships xmlns="http://schemas.openxmlformats.org/package/2006/relationships"><Relationship Id="rId8" Type="http://schemas.microsoft.com/office/2007/relationships/hdphoto" Target="../media/hdphoto15.wdp"/><Relationship Id="rId3" Type="http://schemas.openxmlformats.org/officeDocument/2006/relationships/chart" Target="../charts/chart12.xml"/><Relationship Id="rId7" Type="http://schemas.openxmlformats.org/officeDocument/2006/relationships/image" Target="../media/image22.png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microsoft.com/office/2007/relationships/hdphoto" Target="../media/hdphoto14.wdp"/><Relationship Id="rId5" Type="http://schemas.openxmlformats.org/officeDocument/2006/relationships/image" Target="../media/image21.png"/><Relationship Id="rId10" Type="http://schemas.openxmlformats.org/officeDocument/2006/relationships/image" Target="../media/image23.png"/><Relationship Id="rId4" Type="http://schemas.openxmlformats.org/officeDocument/2006/relationships/chart" Target="../charts/chart13.xml"/><Relationship Id="rId9" Type="http://schemas.openxmlformats.org/officeDocument/2006/relationships/chart" Target="../charts/chart14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13" Type="http://schemas.openxmlformats.org/officeDocument/2006/relationships/image" Target="../media/image29.png"/><Relationship Id="rId18" Type="http://schemas.openxmlformats.org/officeDocument/2006/relationships/image" Target="../media/image34.png"/><Relationship Id="rId3" Type="http://schemas.openxmlformats.org/officeDocument/2006/relationships/chart" Target="../charts/chart15.xml"/><Relationship Id="rId7" Type="http://schemas.openxmlformats.org/officeDocument/2006/relationships/image" Target="../media/image26.png"/><Relationship Id="rId12" Type="http://schemas.openxmlformats.org/officeDocument/2006/relationships/chart" Target="../charts/chart17.xml"/><Relationship Id="rId17" Type="http://schemas.openxmlformats.org/officeDocument/2006/relationships/image" Target="../media/image33.png"/><Relationship Id="rId2" Type="http://schemas.microsoft.com/office/2007/relationships/hdphoto" Target="../media/hdphoto16.wdp"/><Relationship Id="rId16" Type="http://schemas.openxmlformats.org/officeDocument/2006/relationships/image" Target="../media/image32.png"/><Relationship Id="rId1" Type="http://schemas.openxmlformats.org/officeDocument/2006/relationships/image" Target="../media/image24.png"/><Relationship Id="rId6" Type="http://schemas.microsoft.com/office/2007/relationships/hdphoto" Target="../media/hdphoto17.wdp"/><Relationship Id="rId11" Type="http://schemas.microsoft.com/office/2007/relationships/hdphoto" Target="../media/hdphoto19.wdp"/><Relationship Id="rId5" Type="http://schemas.openxmlformats.org/officeDocument/2006/relationships/image" Target="../media/image25.png"/><Relationship Id="rId15" Type="http://schemas.openxmlformats.org/officeDocument/2006/relationships/image" Target="../media/image31.png"/><Relationship Id="rId10" Type="http://schemas.openxmlformats.org/officeDocument/2006/relationships/image" Target="../media/image28.png"/><Relationship Id="rId19" Type="http://schemas.openxmlformats.org/officeDocument/2006/relationships/image" Target="../media/image35.png"/><Relationship Id="rId4" Type="http://schemas.openxmlformats.org/officeDocument/2006/relationships/chart" Target="../charts/chart16.xml"/><Relationship Id="rId9" Type="http://schemas.microsoft.com/office/2007/relationships/hdphoto" Target="../media/hdphoto18.wdp"/><Relationship Id="rId14" Type="http://schemas.openxmlformats.org/officeDocument/2006/relationships/image" Target="../media/image3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6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568468</xdr:colOff>
      <xdr:row>1</xdr:row>
      <xdr:rowOff>35719</xdr:rowOff>
    </xdr:from>
    <xdr:to>
      <xdr:col>13</xdr:col>
      <xdr:colOff>356546</xdr:colOff>
      <xdr:row>20</xdr:row>
      <xdr:rowOff>35718</xdr:rowOff>
    </xdr:to>
    <xdr:pic>
      <xdr:nvPicPr>
        <xdr:cNvPr id="3" name="Kép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0124" y="202407"/>
          <a:ext cx="5860266" cy="4536280"/>
        </a:xfrm>
        <a:prstGeom prst="rect">
          <a:avLst/>
        </a:prstGeom>
      </xdr:spPr>
    </xdr:pic>
    <xdr:clientData/>
  </xdr:twoCellAnchor>
  <xdr:twoCellAnchor editAs="oneCell">
    <xdr:from>
      <xdr:col>11</xdr:col>
      <xdr:colOff>261938</xdr:colOff>
      <xdr:row>15</xdr:row>
      <xdr:rowOff>119062</xdr:rowOff>
    </xdr:from>
    <xdr:to>
      <xdr:col>13</xdr:col>
      <xdr:colOff>19050</xdr:colOff>
      <xdr:row>21</xdr:row>
      <xdr:rowOff>147637</xdr:rowOff>
    </xdr:to>
    <xdr:pic>
      <xdr:nvPicPr>
        <xdr:cNvPr id="4" name="Kép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1344" y="3798093"/>
          <a:ext cx="9715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600075</xdr:colOff>
      <xdr:row>3</xdr:row>
      <xdr:rowOff>57150</xdr:rowOff>
    </xdr:from>
    <xdr:to>
      <xdr:col>13</xdr:col>
      <xdr:colOff>238125</xdr:colOff>
      <xdr:row>21</xdr:row>
      <xdr:rowOff>9525</xdr:rowOff>
    </xdr:to>
    <xdr:graphicFrame macro="">
      <xdr:nvGraphicFramePr>
        <xdr:cNvPr id="423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9525</xdr:colOff>
      <xdr:row>22</xdr:row>
      <xdr:rowOff>28575</xdr:rowOff>
    </xdr:from>
    <xdr:to>
      <xdr:col>13</xdr:col>
      <xdr:colOff>257175</xdr:colOff>
      <xdr:row>39</xdr:row>
      <xdr:rowOff>142875</xdr:rowOff>
    </xdr:to>
    <xdr:graphicFrame macro="">
      <xdr:nvGraphicFramePr>
        <xdr:cNvPr id="423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0</xdr:colOff>
      <xdr:row>3</xdr:row>
      <xdr:rowOff>0</xdr:rowOff>
    </xdr:from>
    <xdr:to>
      <xdr:col>24</xdr:col>
      <xdr:colOff>342900</xdr:colOff>
      <xdr:row>32</xdr:row>
      <xdr:rowOff>19050</xdr:rowOff>
    </xdr:to>
    <xdr:pic>
      <xdr:nvPicPr>
        <xdr:cNvPr id="4235" name="Kép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485775"/>
          <a:ext cx="5829300" cy="471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323850</xdr:colOff>
          <xdr:row>1</xdr:row>
          <xdr:rowOff>9525</xdr:rowOff>
        </xdr:from>
        <xdr:to>
          <xdr:col>18</xdr:col>
          <xdr:colOff>409575</xdr:colOff>
          <xdr:row>16</xdr:row>
          <xdr:rowOff>152400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11</xdr:col>
      <xdr:colOff>465905</xdr:colOff>
      <xdr:row>21</xdr:row>
      <xdr:rowOff>113922</xdr:rowOff>
    </xdr:to>
    <xdr:pic>
      <xdr:nvPicPr>
        <xdr:cNvPr id="2" name="Kép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5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600" y="485775"/>
          <a:ext cx="6561905" cy="30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</xdr:row>
      <xdr:rowOff>0</xdr:rowOff>
    </xdr:from>
    <xdr:to>
      <xdr:col>22</xdr:col>
      <xdr:colOff>465905</xdr:colOff>
      <xdr:row>30</xdr:row>
      <xdr:rowOff>66120</xdr:rowOff>
    </xdr:to>
    <xdr:pic>
      <xdr:nvPicPr>
        <xdr:cNvPr id="3" name="Kép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5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5200" y="485775"/>
          <a:ext cx="6561905" cy="44380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142875</xdr:rowOff>
    </xdr:from>
    <xdr:to>
      <xdr:col>10</xdr:col>
      <xdr:colOff>132648</xdr:colOff>
      <xdr:row>58</xdr:row>
      <xdr:rowOff>161376</xdr:rowOff>
    </xdr:to>
    <xdr:pic>
      <xdr:nvPicPr>
        <xdr:cNvPr id="4" name="Kép 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harpenSoften amount="5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600" y="5162550"/>
          <a:ext cx="5619048" cy="4390476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32</xdr:row>
      <xdr:rowOff>0</xdr:rowOff>
    </xdr:from>
    <xdr:to>
      <xdr:col>21</xdr:col>
      <xdr:colOff>437333</xdr:colOff>
      <xdr:row>61</xdr:row>
      <xdr:rowOff>104175</xdr:rowOff>
    </xdr:to>
    <xdr:pic>
      <xdr:nvPicPr>
        <xdr:cNvPr id="5" name="Kép 4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harpenSoften amount="5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05600" y="5181600"/>
          <a:ext cx="6533333" cy="480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32</xdr:row>
      <xdr:rowOff>0</xdr:rowOff>
    </xdr:from>
    <xdr:to>
      <xdr:col>31</xdr:col>
      <xdr:colOff>265981</xdr:colOff>
      <xdr:row>58</xdr:row>
      <xdr:rowOff>161378</xdr:rowOff>
    </xdr:to>
    <xdr:pic>
      <xdr:nvPicPr>
        <xdr:cNvPr id="6" name="Kép 5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sharpenSoften amount="5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11200" y="5181600"/>
          <a:ext cx="5752381" cy="43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11</xdr:col>
      <xdr:colOff>484952</xdr:colOff>
      <xdr:row>91</xdr:row>
      <xdr:rowOff>85148</xdr:rowOff>
    </xdr:to>
    <xdr:pic>
      <xdr:nvPicPr>
        <xdr:cNvPr id="7" name="Kép 6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sharpenSoften amount="5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600" y="10201275"/>
          <a:ext cx="6580952" cy="461904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173648</xdr:colOff>
      <xdr:row>18</xdr:row>
      <xdr:rowOff>55685</xdr:rowOff>
    </xdr:from>
    <xdr:to>
      <xdr:col>9</xdr:col>
      <xdr:colOff>534865</xdr:colOff>
      <xdr:row>29</xdr:row>
      <xdr:rowOff>46160</xdr:rowOff>
    </xdr:to>
    <xdr:sp macro="" textlink="">
      <xdr:nvSpPr>
        <xdr:cNvPr id="3" name="Szövegdoboz 2"/>
        <xdr:cNvSpPr txBox="1"/>
      </xdr:nvSpPr>
      <xdr:spPr>
        <a:xfrm>
          <a:off x="783248" y="3027485"/>
          <a:ext cx="5238017" cy="1771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1800"/>
            <a:t>E=1/2(m</a:t>
          </a:r>
          <a:r>
            <a:rPr lang="hu-HU" sz="1800" baseline="-25000"/>
            <a:t>1</a:t>
          </a:r>
          <a:r>
            <a:rPr lang="hu-HU" sz="1800"/>
            <a:t>*(dq</a:t>
          </a:r>
          <a:r>
            <a:rPr lang="hu-HU" sz="1800" baseline="-25000"/>
            <a:t>1</a:t>
          </a:r>
          <a:r>
            <a:rPr lang="hu-HU" sz="1800"/>
            <a:t>/dt)</a:t>
          </a:r>
          <a:r>
            <a:rPr lang="hu-HU" sz="1800" baseline="30000"/>
            <a:t>2</a:t>
          </a:r>
          <a:r>
            <a:rPr lang="hu-HU" sz="1800"/>
            <a:t>+</a:t>
          </a:r>
          <a:r>
            <a:rPr lang="hu-HU" sz="1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(m</a:t>
          </a:r>
          <a:r>
            <a:rPr lang="hu-HU" sz="1800" baseline="-25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hu-HU" sz="1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*(</a:t>
          </a:r>
          <a:r>
            <a:rPr lang="hu-HU" sz="18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dq2/dt)</a:t>
          </a:r>
          <a:r>
            <a:rPr lang="hu-HU" sz="180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hu-HU" sz="1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</a:p>
        <a:p>
          <a:r>
            <a:rPr lang="hu-HU" sz="1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U=1/2(s</a:t>
          </a:r>
          <a:r>
            <a:rPr lang="hu-HU" sz="1800" baseline="-25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hu-HU" sz="1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q</a:t>
          </a:r>
          <a:r>
            <a:rPr lang="hu-HU" sz="1800" baseline="-25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hu-HU" sz="180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hu-HU" sz="1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+s</a:t>
          </a:r>
          <a:r>
            <a:rPr lang="hu-HU" sz="1800" baseline="-25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hu-HU" sz="1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(q</a:t>
          </a:r>
          <a:r>
            <a:rPr lang="hu-HU" sz="1800" baseline="-25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hu-HU" sz="1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-q</a:t>
          </a:r>
          <a:r>
            <a:rPr lang="hu-HU" sz="1800" baseline="-25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hu-HU" sz="1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r>
            <a:rPr lang="hu-HU" sz="180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hu-HU" sz="1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+s</a:t>
          </a:r>
          <a:r>
            <a:rPr lang="hu-HU" sz="1800" baseline="-25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hu-HU" sz="1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q</a:t>
          </a:r>
          <a:r>
            <a:rPr lang="hu-HU" sz="1800" baseline="-25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hu-HU" sz="180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hu-HU" sz="1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</a:p>
        <a:p>
          <a:r>
            <a:rPr lang="hu-HU" sz="1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D=1/2(k</a:t>
          </a:r>
          <a:r>
            <a:rPr lang="hu-HU" sz="1800" baseline="-25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hu-HU" sz="1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((dq</a:t>
          </a:r>
          <a:r>
            <a:rPr lang="hu-HU" sz="1800" baseline="-25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hu-HU" sz="1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/dt)</a:t>
          </a:r>
          <a:r>
            <a:rPr lang="hu-HU" sz="180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hu-HU" sz="1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-k</a:t>
          </a:r>
          <a:r>
            <a:rPr lang="hu-HU" sz="1800" baseline="-25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hu-HU" sz="1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(dq</a:t>
          </a:r>
          <a:r>
            <a:rPr lang="hu-HU" sz="1800" baseline="-25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hu-HU" sz="1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/dt-dq</a:t>
          </a:r>
          <a:r>
            <a:rPr lang="hu-HU" sz="1800" baseline="-25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hu-HU" sz="1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/dt)</a:t>
          </a:r>
          <a:r>
            <a:rPr lang="hu-HU" sz="180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hu-HU" sz="1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+k</a:t>
          </a:r>
          <a:r>
            <a:rPr lang="hu-HU" sz="1800" baseline="-25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hu-HU" sz="1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(dq</a:t>
          </a:r>
          <a:r>
            <a:rPr lang="hu-HU" sz="1800" baseline="-25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hu-HU" sz="1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/dt)</a:t>
          </a:r>
          <a:r>
            <a:rPr lang="hu-HU" sz="180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endParaRPr lang="hu-HU" sz="1800" baseline="30000"/>
        </a:p>
      </xdr:txBody>
    </xdr:sp>
    <xdr:clientData/>
  </xdr:twoCellAnchor>
  <xdr:twoCellAnchor editAs="oneCell">
    <xdr:from>
      <xdr:col>1</xdr:col>
      <xdr:colOff>93051</xdr:colOff>
      <xdr:row>24</xdr:row>
      <xdr:rowOff>74735</xdr:rowOff>
    </xdr:from>
    <xdr:to>
      <xdr:col>4</xdr:col>
      <xdr:colOff>99364</xdr:colOff>
      <xdr:row>28</xdr:row>
      <xdr:rowOff>26377</xdr:rowOff>
    </xdr:to>
    <xdr:pic>
      <xdr:nvPicPr>
        <xdr:cNvPr id="4" name="Kép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651" y="4646735"/>
          <a:ext cx="1835113" cy="599342"/>
        </a:xfrm>
        <a:prstGeom prst="rect">
          <a:avLst/>
        </a:prstGeom>
      </xdr:spPr>
    </xdr:pic>
    <xdr:clientData/>
  </xdr:twoCellAnchor>
  <xdr:twoCellAnchor editAs="oneCell">
    <xdr:from>
      <xdr:col>3</xdr:col>
      <xdr:colOff>474785</xdr:colOff>
      <xdr:row>24</xdr:row>
      <xdr:rowOff>45427</xdr:rowOff>
    </xdr:from>
    <xdr:to>
      <xdr:col>6</xdr:col>
      <xdr:colOff>183714</xdr:colOff>
      <xdr:row>27</xdr:row>
      <xdr:rowOff>54890</xdr:rowOff>
    </xdr:to>
    <xdr:pic>
      <xdr:nvPicPr>
        <xdr:cNvPr id="5" name="Kép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03585" y="3988777"/>
          <a:ext cx="1537729" cy="495238"/>
        </a:xfrm>
        <a:prstGeom prst="rect">
          <a:avLst/>
        </a:prstGeom>
      </xdr:spPr>
    </xdr:pic>
    <xdr:clientData/>
  </xdr:twoCellAnchor>
  <xdr:twoCellAnchor editAs="oneCell">
    <xdr:from>
      <xdr:col>6</xdr:col>
      <xdr:colOff>305533</xdr:colOff>
      <xdr:row>24</xdr:row>
      <xdr:rowOff>8792</xdr:rowOff>
    </xdr:from>
    <xdr:to>
      <xdr:col>8</xdr:col>
      <xdr:colOff>565454</xdr:colOff>
      <xdr:row>28</xdr:row>
      <xdr:rowOff>113473</xdr:rowOff>
    </xdr:to>
    <xdr:pic>
      <xdr:nvPicPr>
        <xdr:cNvPr id="6" name="Kép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63133" y="4580792"/>
          <a:ext cx="1479121" cy="752381"/>
        </a:xfrm>
        <a:prstGeom prst="rect">
          <a:avLst/>
        </a:prstGeom>
      </xdr:spPr>
    </xdr:pic>
    <xdr:clientData/>
  </xdr:twoCellAnchor>
  <xdr:twoCellAnchor>
    <xdr:from>
      <xdr:col>3</xdr:col>
      <xdr:colOff>322385</xdr:colOff>
      <xdr:row>6</xdr:row>
      <xdr:rowOff>153865</xdr:rowOff>
    </xdr:from>
    <xdr:to>
      <xdr:col>4</xdr:col>
      <xdr:colOff>168520</xdr:colOff>
      <xdr:row>8</xdr:row>
      <xdr:rowOff>14653</xdr:rowOff>
    </xdr:to>
    <xdr:sp macro="" textlink="">
      <xdr:nvSpPr>
        <xdr:cNvPr id="7" name="Szövegdoboz 6"/>
        <xdr:cNvSpPr txBox="1"/>
      </xdr:nvSpPr>
      <xdr:spPr>
        <a:xfrm>
          <a:off x="2151185" y="1296865"/>
          <a:ext cx="455735" cy="24178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1100"/>
            <a:t>s1</a:t>
          </a:r>
        </a:p>
      </xdr:txBody>
    </xdr:sp>
    <xdr:clientData/>
  </xdr:twoCellAnchor>
  <xdr:twoCellAnchor>
    <xdr:from>
      <xdr:col>6</xdr:col>
      <xdr:colOff>402980</xdr:colOff>
      <xdr:row>6</xdr:row>
      <xdr:rowOff>153865</xdr:rowOff>
    </xdr:from>
    <xdr:to>
      <xdr:col>7</xdr:col>
      <xdr:colOff>197827</xdr:colOff>
      <xdr:row>8</xdr:row>
      <xdr:rowOff>36635</xdr:rowOff>
    </xdr:to>
    <xdr:sp macro="" textlink="">
      <xdr:nvSpPr>
        <xdr:cNvPr id="8" name="Szövegdoboz 7"/>
        <xdr:cNvSpPr txBox="1"/>
      </xdr:nvSpPr>
      <xdr:spPr>
        <a:xfrm>
          <a:off x="4060580" y="1296865"/>
          <a:ext cx="404447" cy="26377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1100"/>
            <a:t>s2</a:t>
          </a:r>
        </a:p>
      </xdr:txBody>
    </xdr:sp>
    <xdr:clientData/>
  </xdr:twoCellAnchor>
  <xdr:twoCellAnchor>
    <xdr:from>
      <xdr:col>9</xdr:col>
      <xdr:colOff>578826</xdr:colOff>
      <xdr:row>7</xdr:row>
      <xdr:rowOff>51288</xdr:rowOff>
    </xdr:from>
    <xdr:to>
      <xdr:col>10</xdr:col>
      <xdr:colOff>468923</xdr:colOff>
      <xdr:row>8</xdr:row>
      <xdr:rowOff>65942</xdr:rowOff>
    </xdr:to>
    <xdr:sp macro="" textlink="">
      <xdr:nvSpPr>
        <xdr:cNvPr id="9" name="Szövegdoboz 8"/>
        <xdr:cNvSpPr txBox="1"/>
      </xdr:nvSpPr>
      <xdr:spPr>
        <a:xfrm>
          <a:off x="6065226" y="1384788"/>
          <a:ext cx="499697" cy="20515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1100"/>
            <a:t>s3</a:t>
          </a:r>
        </a:p>
      </xdr:txBody>
    </xdr:sp>
    <xdr:clientData/>
  </xdr:twoCellAnchor>
  <xdr:twoCellAnchor>
    <xdr:from>
      <xdr:col>3</xdr:col>
      <xdr:colOff>124558</xdr:colOff>
      <xdr:row>10</xdr:row>
      <xdr:rowOff>43961</xdr:rowOff>
    </xdr:from>
    <xdr:to>
      <xdr:col>3</xdr:col>
      <xdr:colOff>468923</xdr:colOff>
      <xdr:row>11</xdr:row>
      <xdr:rowOff>51288</xdr:rowOff>
    </xdr:to>
    <xdr:sp macro="" textlink="">
      <xdr:nvSpPr>
        <xdr:cNvPr id="10" name="Szövegdoboz 9"/>
        <xdr:cNvSpPr txBox="1"/>
      </xdr:nvSpPr>
      <xdr:spPr>
        <a:xfrm>
          <a:off x="1953358" y="1948961"/>
          <a:ext cx="344365" cy="197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1100"/>
            <a:t>k1</a:t>
          </a:r>
        </a:p>
      </xdr:txBody>
    </xdr:sp>
    <xdr:clientData/>
  </xdr:twoCellAnchor>
  <xdr:twoCellAnchor>
    <xdr:from>
      <xdr:col>6</xdr:col>
      <xdr:colOff>197827</xdr:colOff>
      <xdr:row>9</xdr:row>
      <xdr:rowOff>175846</xdr:rowOff>
    </xdr:from>
    <xdr:to>
      <xdr:col>6</xdr:col>
      <xdr:colOff>549519</xdr:colOff>
      <xdr:row>11</xdr:row>
      <xdr:rowOff>7327</xdr:rowOff>
    </xdr:to>
    <xdr:sp macro="" textlink="">
      <xdr:nvSpPr>
        <xdr:cNvPr id="11" name="Szövegdoboz 10"/>
        <xdr:cNvSpPr txBox="1"/>
      </xdr:nvSpPr>
      <xdr:spPr>
        <a:xfrm>
          <a:off x="3855427" y="1890346"/>
          <a:ext cx="351692" cy="21248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1100"/>
            <a:t>k2</a:t>
          </a:r>
        </a:p>
      </xdr:txBody>
    </xdr:sp>
    <xdr:clientData/>
  </xdr:twoCellAnchor>
  <xdr:twoCellAnchor>
    <xdr:from>
      <xdr:col>9</xdr:col>
      <xdr:colOff>373674</xdr:colOff>
      <xdr:row>10</xdr:row>
      <xdr:rowOff>1</xdr:rowOff>
    </xdr:from>
    <xdr:to>
      <xdr:col>10</xdr:col>
      <xdr:colOff>146540</xdr:colOff>
      <xdr:row>11</xdr:row>
      <xdr:rowOff>14655</xdr:rowOff>
    </xdr:to>
    <xdr:sp macro="" textlink="">
      <xdr:nvSpPr>
        <xdr:cNvPr id="12" name="Szövegdoboz 11"/>
        <xdr:cNvSpPr txBox="1"/>
      </xdr:nvSpPr>
      <xdr:spPr>
        <a:xfrm>
          <a:off x="5860074" y="1905001"/>
          <a:ext cx="382466" cy="20515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1100"/>
            <a:t>k3</a:t>
          </a:r>
        </a:p>
      </xdr:txBody>
    </xdr:sp>
    <xdr:clientData/>
  </xdr:twoCellAnchor>
  <xdr:twoCellAnchor editAs="oneCell">
    <xdr:from>
      <xdr:col>2</xdr:col>
      <xdr:colOff>477849</xdr:colOff>
      <xdr:row>0</xdr:row>
      <xdr:rowOff>138079</xdr:rowOff>
    </xdr:from>
    <xdr:to>
      <xdr:col>14</xdr:col>
      <xdr:colOff>532614</xdr:colOff>
      <xdr:row>12</xdr:row>
      <xdr:rowOff>29615</xdr:rowOff>
    </xdr:to>
    <xdr:pic>
      <xdr:nvPicPr>
        <xdr:cNvPr id="13" name="Kép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90122" y="138079"/>
          <a:ext cx="7328401" cy="17619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485775</xdr:colOff>
      <xdr:row>4</xdr:row>
      <xdr:rowOff>61912</xdr:rowOff>
    </xdr:from>
    <xdr:to>
      <xdr:col>12</xdr:col>
      <xdr:colOff>180975</xdr:colOff>
      <xdr:row>21</xdr:row>
      <xdr:rowOff>52387</xdr:rowOff>
    </xdr:to>
    <xdr:graphicFrame macro="">
      <xdr:nvGraphicFramePr>
        <xdr:cNvPr id="5" name="Diagra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13</xdr:col>
      <xdr:colOff>105834</xdr:colOff>
      <xdr:row>4</xdr:row>
      <xdr:rowOff>116416</xdr:rowOff>
    </xdr:from>
    <xdr:to>
      <xdr:col>19</xdr:col>
      <xdr:colOff>70453</xdr:colOff>
      <xdr:row>9</xdr:row>
      <xdr:rowOff>79274</xdr:rowOff>
    </xdr:to>
    <xdr:pic>
      <xdr:nvPicPr>
        <xdr:cNvPr id="3" name="Kép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85667" y="899583"/>
          <a:ext cx="3647619" cy="809524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12</xdr:row>
      <xdr:rowOff>0</xdr:rowOff>
    </xdr:from>
    <xdr:to>
      <xdr:col>18</xdr:col>
      <xdr:colOff>502262</xdr:colOff>
      <xdr:row>16</xdr:row>
      <xdr:rowOff>27428</xdr:rowOff>
    </xdr:to>
    <xdr:pic>
      <xdr:nvPicPr>
        <xdr:cNvPr id="6" name="Kép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79833" y="2063750"/>
          <a:ext cx="3571429" cy="70476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14</xdr:col>
      <xdr:colOff>408533</xdr:colOff>
      <xdr:row>23</xdr:row>
      <xdr:rowOff>123364</xdr:rowOff>
    </xdr:to>
    <xdr:pic>
      <xdr:nvPicPr>
        <xdr:cNvPr id="2" name="Kép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5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600" y="161925"/>
          <a:ext cx="8333333" cy="3685714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</xdr:row>
      <xdr:rowOff>0</xdr:rowOff>
    </xdr:from>
    <xdr:to>
      <xdr:col>28</xdr:col>
      <xdr:colOff>199009</xdr:colOff>
      <xdr:row>23</xdr:row>
      <xdr:rowOff>28126</xdr:rowOff>
    </xdr:to>
    <xdr:pic>
      <xdr:nvPicPr>
        <xdr:cNvPr id="3" name="Kép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5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44000" y="161925"/>
          <a:ext cx="8123809" cy="35904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16</xdr:col>
      <xdr:colOff>94095</xdr:colOff>
      <xdr:row>29</xdr:row>
      <xdr:rowOff>85613</xdr:rowOff>
    </xdr:to>
    <xdr:pic>
      <xdr:nvPicPr>
        <xdr:cNvPr id="4" name="Kép 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" y="3886200"/>
          <a:ext cx="9238095" cy="89523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10</xdr:col>
      <xdr:colOff>530679</xdr:colOff>
      <xdr:row>31</xdr:row>
      <xdr:rowOff>108857</xdr:rowOff>
    </xdr:to>
    <xdr:pic>
      <xdr:nvPicPr>
        <xdr:cNvPr id="7" name="Kép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5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0" y="326571"/>
          <a:ext cx="6653893" cy="4844143"/>
        </a:xfrm>
        <a:prstGeom prst="rect">
          <a:avLst/>
        </a:prstGeom>
      </xdr:spPr>
    </xdr:pic>
    <xdr:clientData/>
  </xdr:twoCellAnchor>
  <xdr:twoCellAnchor editAs="oneCell">
    <xdr:from>
      <xdr:col>11</xdr:col>
      <xdr:colOff>1</xdr:colOff>
      <xdr:row>1</xdr:row>
      <xdr:rowOff>81643</xdr:rowOff>
    </xdr:from>
    <xdr:to>
      <xdr:col>15</xdr:col>
      <xdr:colOff>397172</xdr:colOff>
      <xdr:row>14</xdr:row>
      <xdr:rowOff>81643</xdr:rowOff>
    </xdr:to>
    <xdr:pic>
      <xdr:nvPicPr>
        <xdr:cNvPr id="8" name="Kép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5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35537" y="244929"/>
          <a:ext cx="2846456" cy="2122714"/>
        </a:xfrm>
        <a:prstGeom prst="rect">
          <a:avLst/>
        </a:prstGeom>
      </xdr:spPr>
    </xdr:pic>
    <xdr:clientData/>
  </xdr:twoCellAnchor>
  <xdr:twoCellAnchor editAs="oneCell">
    <xdr:from>
      <xdr:col>15</xdr:col>
      <xdr:colOff>408215</xdr:colOff>
      <xdr:row>1</xdr:row>
      <xdr:rowOff>163284</xdr:rowOff>
    </xdr:from>
    <xdr:to>
      <xdr:col>22</xdr:col>
      <xdr:colOff>223970</xdr:colOff>
      <xdr:row>14</xdr:row>
      <xdr:rowOff>40821</xdr:rowOff>
    </xdr:to>
    <xdr:pic>
      <xdr:nvPicPr>
        <xdr:cNvPr id="9" name="Kép 8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harpenSoften amount="5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3036" y="326570"/>
          <a:ext cx="4102005" cy="200025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14</xdr:row>
      <xdr:rowOff>0</xdr:rowOff>
    </xdr:from>
    <xdr:to>
      <xdr:col>22</xdr:col>
      <xdr:colOff>163286</xdr:colOff>
      <xdr:row>23</xdr:row>
      <xdr:rowOff>95250</xdr:rowOff>
    </xdr:to>
    <xdr:pic>
      <xdr:nvPicPr>
        <xdr:cNvPr id="10" name="Kép 9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harpenSoften amount="5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35536" y="2286000"/>
          <a:ext cx="6898821" cy="1564821"/>
        </a:xfrm>
        <a:prstGeom prst="rect">
          <a:avLst/>
        </a:prstGeom>
      </xdr:spPr>
    </xdr:pic>
    <xdr:clientData/>
  </xdr:twoCellAnchor>
  <xdr:twoCellAnchor editAs="oneCell">
    <xdr:from>
      <xdr:col>10</xdr:col>
      <xdr:colOff>503465</xdr:colOff>
      <xdr:row>23</xdr:row>
      <xdr:rowOff>136072</xdr:rowOff>
    </xdr:from>
    <xdr:to>
      <xdr:col>22</xdr:col>
      <xdr:colOff>27215</xdr:colOff>
      <xdr:row>32</xdr:row>
      <xdr:rowOff>108857</xdr:rowOff>
    </xdr:to>
    <xdr:pic>
      <xdr:nvPicPr>
        <xdr:cNvPr id="11" name="Kép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sharpenSoften amount="5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26679" y="3891643"/>
          <a:ext cx="6871607" cy="144235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285749</xdr:colOff>
      <xdr:row>33</xdr:row>
      <xdr:rowOff>136071</xdr:rowOff>
    </xdr:from>
    <xdr:to>
      <xdr:col>10</xdr:col>
      <xdr:colOff>538858</xdr:colOff>
      <xdr:row>65</xdr:row>
      <xdr:rowOff>54429</xdr:rowOff>
    </xdr:to>
    <xdr:pic>
      <xdr:nvPicPr>
        <xdr:cNvPr id="12" name="Kép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sharpenSoften amount="5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5749" y="5524500"/>
          <a:ext cx="6376323" cy="51435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35</xdr:row>
      <xdr:rowOff>0</xdr:rowOff>
    </xdr:from>
    <xdr:to>
      <xdr:col>20</xdr:col>
      <xdr:colOff>517071</xdr:colOff>
      <xdr:row>65</xdr:row>
      <xdr:rowOff>48780</xdr:rowOff>
    </xdr:to>
    <xdr:pic>
      <xdr:nvPicPr>
        <xdr:cNvPr id="13" name="Kép 1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sharpenSoften amount="5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35536" y="5715000"/>
          <a:ext cx="6027964" cy="4947351"/>
        </a:xfrm>
        <a:prstGeom prst="rect">
          <a:avLst/>
        </a:prstGeom>
      </xdr:spPr>
    </xdr:pic>
    <xdr:clientData/>
  </xdr:twoCellAnchor>
  <xdr:twoCellAnchor editAs="oneCell">
    <xdr:from>
      <xdr:col>21</xdr:col>
      <xdr:colOff>231321</xdr:colOff>
      <xdr:row>34</xdr:row>
      <xdr:rowOff>108858</xdr:rowOff>
    </xdr:from>
    <xdr:to>
      <xdr:col>32</xdr:col>
      <xdr:colOff>157192</xdr:colOff>
      <xdr:row>59</xdr:row>
      <xdr:rowOff>108857</xdr:rowOff>
    </xdr:to>
    <xdr:pic>
      <xdr:nvPicPr>
        <xdr:cNvPr id="14" name="Kép 13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sharpenSoften amount="5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090071" y="5660572"/>
          <a:ext cx="6661407" cy="4082142"/>
        </a:xfrm>
        <a:prstGeom prst="rect">
          <a:avLst/>
        </a:prstGeom>
      </xdr:spPr>
    </xdr:pic>
    <xdr:clientData/>
  </xdr:twoCellAnchor>
  <xdr:twoCellAnchor editAs="oneCell">
    <xdr:from>
      <xdr:col>21</xdr:col>
      <xdr:colOff>81643</xdr:colOff>
      <xdr:row>62</xdr:row>
      <xdr:rowOff>136072</xdr:rowOff>
    </xdr:from>
    <xdr:to>
      <xdr:col>33</xdr:col>
      <xdr:colOff>81644</xdr:colOff>
      <xdr:row>77</xdr:row>
      <xdr:rowOff>143929</xdr:rowOff>
    </xdr:to>
    <xdr:pic>
      <xdr:nvPicPr>
        <xdr:cNvPr id="15" name="Kép 14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sharpenSoften amount="5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940393" y="10259786"/>
          <a:ext cx="7347858" cy="245714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466725</xdr:colOff>
      <xdr:row>2</xdr:row>
      <xdr:rowOff>0</xdr:rowOff>
    </xdr:from>
    <xdr:to>
      <xdr:col>5</xdr:col>
      <xdr:colOff>438150</xdr:colOff>
      <xdr:row>10</xdr:row>
      <xdr:rowOff>104775</xdr:rowOff>
    </xdr:to>
    <xdr:pic>
      <xdr:nvPicPr>
        <xdr:cNvPr id="4" name="Kép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0"/>
          <a:ext cx="3019425" cy="1390650"/>
        </a:xfrm>
        <a:prstGeom prst="rect">
          <a:avLst/>
        </a:prstGeom>
      </xdr:spPr>
    </xdr:pic>
    <xdr:clientData/>
  </xdr:twoCellAnchor>
  <xdr:twoCellAnchor editAs="oneCell">
    <xdr:from>
      <xdr:col>6</xdr:col>
      <xdr:colOff>224203</xdr:colOff>
      <xdr:row>1</xdr:row>
      <xdr:rowOff>82794</xdr:rowOff>
    </xdr:from>
    <xdr:to>
      <xdr:col>15</xdr:col>
      <xdr:colOff>545862</xdr:colOff>
      <xdr:row>9</xdr:row>
      <xdr:rowOff>73269</xdr:rowOff>
    </xdr:to>
    <xdr:pic>
      <xdr:nvPicPr>
        <xdr:cNvPr id="5" name="Kép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73011" y="309929"/>
          <a:ext cx="5794870" cy="1272686"/>
        </a:xfrm>
        <a:prstGeom prst="rect">
          <a:avLst/>
        </a:prstGeom>
      </xdr:spPr>
    </xdr:pic>
    <xdr:clientData/>
  </xdr:twoCellAnchor>
  <xdr:twoCellAnchor>
    <xdr:from>
      <xdr:col>4</xdr:col>
      <xdr:colOff>190500</xdr:colOff>
      <xdr:row>7</xdr:row>
      <xdr:rowOff>19050</xdr:rowOff>
    </xdr:from>
    <xdr:to>
      <xdr:col>4</xdr:col>
      <xdr:colOff>314325</xdr:colOff>
      <xdr:row>7</xdr:row>
      <xdr:rowOff>28575</xdr:rowOff>
    </xdr:to>
    <xdr:cxnSp macro="">
      <xdr:nvCxnSpPr>
        <xdr:cNvPr id="3" name="Egyenes összekötő 2"/>
        <xdr:cNvCxnSpPr/>
      </xdr:nvCxnSpPr>
      <xdr:spPr bwMode="auto">
        <a:xfrm>
          <a:off x="2628900" y="1209675"/>
          <a:ext cx="123825" cy="952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4</xdr:col>
      <xdr:colOff>333375</xdr:colOff>
      <xdr:row>6</xdr:row>
      <xdr:rowOff>104775</xdr:rowOff>
    </xdr:from>
    <xdr:to>
      <xdr:col>4</xdr:col>
      <xdr:colOff>333375</xdr:colOff>
      <xdr:row>7</xdr:row>
      <xdr:rowOff>95250</xdr:rowOff>
    </xdr:to>
    <xdr:cxnSp macro="">
      <xdr:nvCxnSpPr>
        <xdr:cNvPr id="7" name="Egyenes összekötő 6"/>
        <xdr:cNvCxnSpPr/>
      </xdr:nvCxnSpPr>
      <xdr:spPr bwMode="auto">
        <a:xfrm>
          <a:off x="2771775" y="1133475"/>
          <a:ext cx="0" cy="15240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4</xdr:col>
      <xdr:colOff>323850</xdr:colOff>
      <xdr:row>6</xdr:row>
      <xdr:rowOff>95250</xdr:rowOff>
    </xdr:from>
    <xdr:to>
      <xdr:col>4</xdr:col>
      <xdr:colOff>571500</xdr:colOff>
      <xdr:row>6</xdr:row>
      <xdr:rowOff>104775</xdr:rowOff>
    </xdr:to>
    <xdr:cxnSp macro="">
      <xdr:nvCxnSpPr>
        <xdr:cNvPr id="9" name="Egyenes összekötő 8"/>
        <xdr:cNvCxnSpPr/>
      </xdr:nvCxnSpPr>
      <xdr:spPr bwMode="auto">
        <a:xfrm>
          <a:off x="2762250" y="1123950"/>
          <a:ext cx="247650" cy="952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4</xdr:col>
      <xdr:colOff>323850</xdr:colOff>
      <xdr:row>7</xdr:row>
      <xdr:rowOff>104775</xdr:rowOff>
    </xdr:from>
    <xdr:to>
      <xdr:col>4</xdr:col>
      <xdr:colOff>590550</xdr:colOff>
      <xdr:row>7</xdr:row>
      <xdr:rowOff>114300</xdr:rowOff>
    </xdr:to>
    <xdr:cxnSp macro="">
      <xdr:nvCxnSpPr>
        <xdr:cNvPr id="11" name="Egyenes összekötő 10"/>
        <xdr:cNvCxnSpPr/>
      </xdr:nvCxnSpPr>
      <xdr:spPr bwMode="auto">
        <a:xfrm>
          <a:off x="2762250" y="1295400"/>
          <a:ext cx="266700" cy="952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4</xdr:col>
      <xdr:colOff>552450</xdr:colOff>
      <xdr:row>6</xdr:row>
      <xdr:rowOff>123825</xdr:rowOff>
    </xdr:from>
    <xdr:to>
      <xdr:col>4</xdr:col>
      <xdr:colOff>552450</xdr:colOff>
      <xdr:row>7</xdr:row>
      <xdr:rowOff>95250</xdr:rowOff>
    </xdr:to>
    <xdr:cxnSp macro="">
      <xdr:nvCxnSpPr>
        <xdr:cNvPr id="13" name="Egyenes összekötő 12"/>
        <xdr:cNvCxnSpPr/>
      </xdr:nvCxnSpPr>
      <xdr:spPr bwMode="auto">
        <a:xfrm>
          <a:off x="2990850" y="1152525"/>
          <a:ext cx="0" cy="13335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4</xdr:col>
      <xdr:colOff>561975</xdr:colOff>
      <xdr:row>7</xdr:row>
      <xdr:rowOff>28575</xdr:rowOff>
    </xdr:from>
    <xdr:to>
      <xdr:col>5</xdr:col>
      <xdr:colOff>285750</xdr:colOff>
      <xdr:row>7</xdr:row>
      <xdr:rowOff>28575</xdr:rowOff>
    </xdr:to>
    <xdr:cxnSp macro="">
      <xdr:nvCxnSpPr>
        <xdr:cNvPr id="15" name="Egyenes összekötő 14"/>
        <xdr:cNvCxnSpPr/>
      </xdr:nvCxnSpPr>
      <xdr:spPr bwMode="auto">
        <a:xfrm>
          <a:off x="3000375" y="1219200"/>
          <a:ext cx="333375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4</xdr:col>
      <xdr:colOff>285749</xdr:colOff>
      <xdr:row>6</xdr:row>
      <xdr:rowOff>57150</xdr:rowOff>
    </xdr:from>
    <xdr:to>
      <xdr:col>5</xdr:col>
      <xdr:colOff>47624</xdr:colOff>
      <xdr:row>7</xdr:row>
      <xdr:rowOff>104775</xdr:rowOff>
    </xdr:to>
    <xdr:sp macro="" textlink="">
      <xdr:nvSpPr>
        <xdr:cNvPr id="16" name="Szövegdoboz 15"/>
        <xdr:cNvSpPr txBox="1"/>
      </xdr:nvSpPr>
      <xdr:spPr>
        <a:xfrm>
          <a:off x="2724149" y="1085850"/>
          <a:ext cx="371475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1100"/>
            <a:t>2k</a:t>
          </a:r>
        </a:p>
      </xdr:txBody>
    </xdr:sp>
    <xdr:clientData/>
  </xdr:twoCellAnchor>
  <xdr:twoCellAnchor>
    <xdr:from>
      <xdr:col>21</xdr:col>
      <xdr:colOff>238125</xdr:colOff>
      <xdr:row>18</xdr:row>
      <xdr:rowOff>100012</xdr:rowOff>
    </xdr:from>
    <xdr:to>
      <xdr:col>28</xdr:col>
      <xdr:colOff>542925</xdr:colOff>
      <xdr:row>34</xdr:row>
      <xdr:rowOff>14287</xdr:rowOff>
    </xdr:to>
    <xdr:graphicFrame macro="">
      <xdr:nvGraphicFramePr>
        <xdr:cNvPr id="6" name="Diagram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23</xdr:col>
      <xdr:colOff>228600</xdr:colOff>
      <xdr:row>10</xdr:row>
      <xdr:rowOff>114300</xdr:rowOff>
    </xdr:from>
    <xdr:to>
      <xdr:col>28</xdr:col>
      <xdr:colOff>203413</xdr:colOff>
      <xdr:row>17</xdr:row>
      <xdr:rowOff>133350</xdr:rowOff>
    </xdr:to>
    <xdr:pic>
      <xdr:nvPicPr>
        <xdr:cNvPr id="8" name="Kép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249400" y="1790700"/>
          <a:ext cx="3022813" cy="13525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0</xdr:colOff>
      <xdr:row>10</xdr:row>
      <xdr:rowOff>0</xdr:rowOff>
    </xdr:from>
    <xdr:to>
      <xdr:col>25</xdr:col>
      <xdr:colOff>59871</xdr:colOff>
      <xdr:row>12</xdr:row>
      <xdr:rowOff>142875</xdr:rowOff>
    </xdr:to>
    <xdr:pic>
      <xdr:nvPicPr>
        <xdr:cNvPr id="4" name="Kép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92325" y="1885950"/>
          <a:ext cx="72390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10</xdr:row>
      <xdr:rowOff>1</xdr:rowOff>
    </xdr:from>
    <xdr:to>
      <xdr:col>26</xdr:col>
      <xdr:colOff>678996</xdr:colOff>
      <xdr:row>12</xdr:row>
      <xdr:rowOff>141515</xdr:rowOff>
    </xdr:to>
    <xdr:pic>
      <xdr:nvPicPr>
        <xdr:cNvPr id="6" name="Kép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83643" y="1891394"/>
          <a:ext cx="678996" cy="468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16</xdr:row>
      <xdr:rowOff>0</xdr:rowOff>
    </xdr:from>
    <xdr:to>
      <xdr:col>25</xdr:col>
      <xdr:colOff>59871</xdr:colOff>
      <xdr:row>18</xdr:row>
      <xdr:rowOff>85725</xdr:rowOff>
    </xdr:to>
    <xdr:pic>
      <xdr:nvPicPr>
        <xdr:cNvPr id="8" name="Kép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92325" y="2886075"/>
          <a:ext cx="72390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16</xdr:row>
      <xdr:rowOff>0</xdr:rowOff>
    </xdr:from>
    <xdr:to>
      <xdr:col>26</xdr:col>
      <xdr:colOff>678996</xdr:colOff>
      <xdr:row>18</xdr:row>
      <xdr:rowOff>85725</xdr:rowOff>
    </xdr:to>
    <xdr:pic>
      <xdr:nvPicPr>
        <xdr:cNvPr id="10" name="Kép 9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11525" y="2886075"/>
          <a:ext cx="676275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428625</xdr:colOff>
      <xdr:row>7</xdr:row>
      <xdr:rowOff>85725</xdr:rowOff>
    </xdr:from>
    <xdr:to>
      <xdr:col>13</xdr:col>
      <xdr:colOff>123825</xdr:colOff>
      <xdr:row>24</xdr:row>
      <xdr:rowOff>76200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238125</xdr:colOff>
      <xdr:row>7</xdr:row>
      <xdr:rowOff>114300</xdr:rowOff>
    </xdr:from>
    <xdr:to>
      <xdr:col>20</xdr:col>
      <xdr:colOff>542925</xdr:colOff>
      <xdr:row>24</xdr:row>
      <xdr:rowOff>104775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285750</xdr:colOff>
      <xdr:row>27</xdr:row>
      <xdr:rowOff>31750</xdr:rowOff>
    </xdr:from>
    <xdr:to>
      <xdr:col>19</xdr:col>
      <xdr:colOff>4281</xdr:colOff>
      <xdr:row>33</xdr:row>
      <xdr:rowOff>48576</xdr:rowOff>
    </xdr:to>
    <xdr:pic>
      <xdr:nvPicPr>
        <xdr:cNvPr id="5" name="Kép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11750" y="4603750"/>
          <a:ext cx="6354281" cy="131857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333375</xdr:colOff>
      <xdr:row>9</xdr:row>
      <xdr:rowOff>30162</xdr:rowOff>
    </xdr:from>
    <xdr:to>
      <xdr:col>17</xdr:col>
      <xdr:colOff>200025</xdr:colOff>
      <xdr:row>26</xdr:row>
      <xdr:rowOff>20637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257174</xdr:colOff>
      <xdr:row>8</xdr:row>
      <xdr:rowOff>61912</xdr:rowOff>
    </xdr:from>
    <xdr:to>
      <xdr:col>29</xdr:col>
      <xdr:colOff>95249</xdr:colOff>
      <xdr:row>25</xdr:row>
      <xdr:rowOff>52387</xdr:rowOff>
    </xdr:to>
    <xdr:graphicFrame macro="">
      <xdr:nvGraphicFramePr>
        <xdr:cNvPr id="5" name="Diagra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371475</xdr:colOff>
      <xdr:row>8</xdr:row>
      <xdr:rowOff>142875</xdr:rowOff>
    </xdr:from>
    <xdr:to>
      <xdr:col>11</xdr:col>
      <xdr:colOff>9525</xdr:colOff>
      <xdr:row>26</xdr:row>
      <xdr:rowOff>95250</xdr:rowOff>
    </xdr:to>
    <xdr:graphicFrame macro="">
      <xdr:nvGraphicFramePr>
        <xdr:cNvPr id="116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409575</xdr:colOff>
      <xdr:row>26</xdr:row>
      <xdr:rowOff>123825</xdr:rowOff>
    </xdr:from>
    <xdr:to>
      <xdr:col>11</xdr:col>
      <xdr:colOff>47625</xdr:colOff>
      <xdr:row>44</xdr:row>
      <xdr:rowOff>76200</xdr:rowOff>
    </xdr:to>
    <xdr:graphicFrame macro="">
      <xdr:nvGraphicFramePr>
        <xdr:cNvPr id="116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342900</xdr:colOff>
      <xdr:row>5</xdr:row>
      <xdr:rowOff>38100</xdr:rowOff>
    </xdr:from>
    <xdr:to>
      <xdr:col>21</xdr:col>
      <xdr:colOff>438150</xdr:colOff>
      <xdr:row>32</xdr:row>
      <xdr:rowOff>28575</xdr:rowOff>
    </xdr:to>
    <xdr:pic>
      <xdr:nvPicPr>
        <xdr:cNvPr id="1163" name="Kép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847725"/>
          <a:ext cx="6191250" cy="450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5</xdr:col>
      <xdr:colOff>637770</xdr:colOff>
      <xdr:row>9</xdr:row>
      <xdr:rowOff>47495</xdr:rowOff>
    </xdr:to>
    <xdr:pic>
      <xdr:nvPicPr>
        <xdr:cNvPr id="2" name="Kép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485775"/>
          <a:ext cx="3238095" cy="10380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5</xdr:col>
      <xdr:colOff>637770</xdr:colOff>
      <xdr:row>9</xdr:row>
      <xdr:rowOff>47495</xdr:rowOff>
    </xdr:to>
    <xdr:pic>
      <xdr:nvPicPr>
        <xdr:cNvPr id="4" name="Kép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3238095" cy="10380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5</xdr:col>
      <xdr:colOff>637770</xdr:colOff>
      <xdr:row>9</xdr:row>
      <xdr:rowOff>47495</xdr:rowOff>
    </xdr:to>
    <xdr:pic>
      <xdr:nvPicPr>
        <xdr:cNvPr id="6" name="Kép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2475" y="647700"/>
          <a:ext cx="3238095" cy="1038095"/>
        </a:xfrm>
        <a:prstGeom prst="rect">
          <a:avLst/>
        </a:prstGeom>
      </xdr:spPr>
    </xdr:pic>
    <xdr:clientData/>
  </xdr:twoCellAnchor>
  <xdr:twoCellAnchor editAs="oneCell">
    <xdr:from>
      <xdr:col>12</xdr:col>
      <xdr:colOff>352425</xdr:colOff>
      <xdr:row>0</xdr:row>
      <xdr:rowOff>161925</xdr:rowOff>
    </xdr:from>
    <xdr:to>
      <xdr:col>20</xdr:col>
      <xdr:colOff>104113</xdr:colOff>
      <xdr:row>4</xdr:row>
      <xdr:rowOff>123735</xdr:rowOff>
    </xdr:to>
    <xdr:pic>
      <xdr:nvPicPr>
        <xdr:cNvPr id="7" name="Kép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62950" y="161925"/>
          <a:ext cx="5295238" cy="723810"/>
        </a:xfrm>
        <a:prstGeom prst="rect">
          <a:avLst/>
        </a:prstGeom>
      </xdr:spPr>
    </xdr:pic>
    <xdr:clientData/>
  </xdr:twoCellAnchor>
  <xdr:twoCellAnchor>
    <xdr:from>
      <xdr:col>16</xdr:col>
      <xdr:colOff>114300</xdr:colOff>
      <xdr:row>17</xdr:row>
      <xdr:rowOff>157162</xdr:rowOff>
    </xdr:from>
    <xdr:to>
      <xdr:col>23</xdr:col>
      <xdr:colOff>276225</xdr:colOff>
      <xdr:row>34</xdr:row>
      <xdr:rowOff>71437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18</xdr:col>
      <xdr:colOff>9525</xdr:colOff>
      <xdr:row>14</xdr:row>
      <xdr:rowOff>47625</xdr:rowOff>
    </xdr:from>
    <xdr:to>
      <xdr:col>21</xdr:col>
      <xdr:colOff>581025</xdr:colOff>
      <xdr:row>17</xdr:row>
      <xdr:rowOff>199908</xdr:rowOff>
    </xdr:to>
    <xdr:pic>
      <xdr:nvPicPr>
        <xdr:cNvPr id="5" name="Kép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315825" y="2476500"/>
          <a:ext cx="2457450" cy="93333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</xdr:row>
      <xdr:rowOff>0</xdr:rowOff>
    </xdr:from>
    <xdr:to>
      <xdr:col>8</xdr:col>
      <xdr:colOff>75761</xdr:colOff>
      <xdr:row>7</xdr:row>
      <xdr:rowOff>9414</xdr:rowOff>
    </xdr:to>
    <xdr:pic>
      <xdr:nvPicPr>
        <xdr:cNvPr id="2" name="Kép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676275"/>
          <a:ext cx="3514286" cy="885714"/>
        </a:xfrm>
        <a:prstGeom prst="rect">
          <a:avLst/>
        </a:prstGeom>
      </xdr:spPr>
    </xdr:pic>
    <xdr:clientData/>
  </xdr:twoCellAnchor>
  <xdr:twoCellAnchor editAs="oneCell">
    <xdr:from>
      <xdr:col>13</xdr:col>
      <xdr:colOff>466725</xdr:colOff>
      <xdr:row>1</xdr:row>
      <xdr:rowOff>85725</xdr:rowOff>
    </xdr:from>
    <xdr:to>
      <xdr:col>21</xdr:col>
      <xdr:colOff>151771</xdr:colOff>
      <xdr:row>3</xdr:row>
      <xdr:rowOff>210851</xdr:rowOff>
    </xdr:to>
    <xdr:pic>
      <xdr:nvPicPr>
        <xdr:cNvPr id="3" name="Kép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05925" y="381000"/>
          <a:ext cx="5028571" cy="476190"/>
        </a:xfrm>
        <a:prstGeom prst="rect">
          <a:avLst/>
        </a:prstGeom>
      </xdr:spPr>
    </xdr:pic>
    <xdr:clientData/>
  </xdr:twoCellAnchor>
  <xdr:twoCellAnchor>
    <xdr:from>
      <xdr:col>19</xdr:col>
      <xdr:colOff>219075</xdr:colOff>
      <xdr:row>12</xdr:row>
      <xdr:rowOff>223837</xdr:rowOff>
    </xdr:from>
    <xdr:to>
      <xdr:col>26</xdr:col>
      <xdr:colOff>466725</xdr:colOff>
      <xdr:row>28</xdr:row>
      <xdr:rowOff>100012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19</xdr:col>
      <xdr:colOff>342900</xdr:colOff>
      <xdr:row>9</xdr:row>
      <xdr:rowOff>95250</xdr:rowOff>
    </xdr:from>
    <xdr:to>
      <xdr:col>24</xdr:col>
      <xdr:colOff>513940</xdr:colOff>
      <xdr:row>12</xdr:row>
      <xdr:rowOff>238126</xdr:rowOff>
    </xdr:to>
    <xdr:pic>
      <xdr:nvPicPr>
        <xdr:cNvPr id="5" name="Kép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277850" y="1914525"/>
          <a:ext cx="3276190" cy="7429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561975</xdr:colOff>
      <xdr:row>5</xdr:row>
      <xdr:rowOff>152400</xdr:rowOff>
    </xdr:from>
    <xdr:to>
      <xdr:col>10</xdr:col>
      <xdr:colOff>736799</xdr:colOff>
      <xdr:row>15</xdr:row>
      <xdr:rowOff>25641</xdr:rowOff>
    </xdr:to>
    <xdr:pic>
      <xdr:nvPicPr>
        <xdr:cNvPr id="2" name="Kép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1575" y="962025"/>
          <a:ext cx="6876190" cy="16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22</xdr:col>
      <xdr:colOff>199174</xdr:colOff>
      <xdr:row>7</xdr:row>
      <xdr:rowOff>59816</xdr:rowOff>
    </xdr:to>
    <xdr:pic>
      <xdr:nvPicPr>
        <xdr:cNvPr id="3" name="Kép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15250" y="809625"/>
          <a:ext cx="6809524" cy="438095"/>
        </a:xfrm>
        <a:prstGeom prst="rect">
          <a:avLst/>
        </a:prstGeom>
      </xdr:spPr>
    </xdr:pic>
    <xdr:clientData/>
  </xdr:twoCellAnchor>
  <xdr:twoCellAnchor>
    <xdr:from>
      <xdr:col>19</xdr:col>
      <xdr:colOff>464156</xdr:colOff>
      <xdr:row>19</xdr:row>
      <xdr:rowOff>56393</xdr:rowOff>
    </xdr:from>
    <xdr:to>
      <xdr:col>27</xdr:col>
      <xdr:colOff>125489</xdr:colOff>
      <xdr:row>33</xdr:row>
      <xdr:rowOff>40367</xdr:rowOff>
    </xdr:to>
    <xdr:graphicFrame macro="">
      <xdr:nvGraphicFramePr>
        <xdr:cNvPr id="6" name="Diagram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18</xdr:col>
      <xdr:colOff>585108</xdr:colOff>
      <xdr:row>14</xdr:row>
      <xdr:rowOff>136072</xdr:rowOff>
    </xdr:from>
    <xdr:to>
      <xdr:col>27</xdr:col>
      <xdr:colOff>571500</xdr:colOff>
      <xdr:row>19</xdr:row>
      <xdr:rowOff>131119</xdr:rowOff>
    </xdr:to>
    <xdr:pic>
      <xdr:nvPicPr>
        <xdr:cNvPr id="7" name="Kép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579929" y="2462893"/>
          <a:ext cx="5796642" cy="92033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352425</xdr:colOff>
      <xdr:row>18</xdr:row>
      <xdr:rowOff>161925</xdr:rowOff>
    </xdr:from>
    <xdr:to>
      <xdr:col>9</xdr:col>
      <xdr:colOff>466467</xdr:colOff>
      <xdr:row>26</xdr:row>
      <xdr:rowOff>123660</xdr:rowOff>
    </xdr:to>
    <xdr:pic>
      <xdr:nvPicPr>
        <xdr:cNvPr id="3" name="Kép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81675" y="3805238"/>
          <a:ext cx="2066667" cy="1354766"/>
        </a:xfrm>
        <a:prstGeom prst="rect">
          <a:avLst/>
        </a:prstGeom>
      </xdr:spPr>
    </xdr:pic>
    <xdr:clientData/>
  </xdr:twoCellAnchor>
  <xdr:twoCellAnchor editAs="oneCell">
    <xdr:from>
      <xdr:col>3</xdr:col>
      <xdr:colOff>295276</xdr:colOff>
      <xdr:row>19</xdr:row>
      <xdr:rowOff>21431</xdr:rowOff>
    </xdr:from>
    <xdr:to>
      <xdr:col>5</xdr:col>
      <xdr:colOff>702174</xdr:colOff>
      <xdr:row>26</xdr:row>
      <xdr:rowOff>49851</xdr:rowOff>
    </xdr:to>
    <xdr:pic>
      <xdr:nvPicPr>
        <xdr:cNvPr id="4" name="Kép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16932" y="3831431"/>
          <a:ext cx="2359523" cy="1254764"/>
        </a:xfrm>
        <a:prstGeom prst="rect">
          <a:avLst/>
        </a:prstGeom>
      </xdr:spPr>
    </xdr:pic>
    <xdr:clientData/>
  </xdr:twoCellAnchor>
  <xdr:twoCellAnchor editAs="oneCell">
    <xdr:from>
      <xdr:col>19</xdr:col>
      <xdr:colOff>250031</xdr:colOff>
      <xdr:row>19</xdr:row>
      <xdr:rowOff>97631</xdr:rowOff>
    </xdr:from>
    <xdr:to>
      <xdr:col>21</xdr:col>
      <xdr:colOff>552214</xdr:colOff>
      <xdr:row>26</xdr:row>
      <xdr:rowOff>78432</xdr:rowOff>
    </xdr:to>
    <xdr:pic>
      <xdr:nvPicPr>
        <xdr:cNvPr id="7" name="Kép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144625" y="3907631"/>
          <a:ext cx="1885714" cy="1207145"/>
        </a:xfrm>
        <a:prstGeom prst="rect">
          <a:avLst/>
        </a:prstGeom>
      </xdr:spPr>
    </xdr:pic>
    <xdr:clientData/>
  </xdr:twoCellAnchor>
  <xdr:twoCellAnchor editAs="oneCell">
    <xdr:from>
      <xdr:col>28</xdr:col>
      <xdr:colOff>9525</xdr:colOff>
      <xdr:row>24</xdr:row>
      <xdr:rowOff>95250</xdr:rowOff>
    </xdr:from>
    <xdr:to>
      <xdr:col>33</xdr:col>
      <xdr:colOff>552001</xdr:colOff>
      <xdr:row>30</xdr:row>
      <xdr:rowOff>57008</xdr:rowOff>
    </xdr:to>
    <xdr:pic>
      <xdr:nvPicPr>
        <xdr:cNvPr id="8" name="Kép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211550" y="4086225"/>
          <a:ext cx="3590476" cy="1133333"/>
        </a:xfrm>
        <a:prstGeom prst="rect">
          <a:avLst/>
        </a:prstGeom>
      </xdr:spPr>
    </xdr:pic>
    <xdr:clientData/>
  </xdr:twoCellAnchor>
  <xdr:twoCellAnchor editAs="oneCell">
    <xdr:from>
      <xdr:col>10</xdr:col>
      <xdr:colOff>521494</xdr:colOff>
      <xdr:row>19</xdr:row>
      <xdr:rowOff>23812</xdr:rowOff>
    </xdr:from>
    <xdr:to>
      <xdr:col>13</xdr:col>
      <xdr:colOff>578364</xdr:colOff>
      <xdr:row>25</xdr:row>
      <xdr:rowOff>114299</xdr:rowOff>
    </xdr:to>
    <xdr:pic>
      <xdr:nvPicPr>
        <xdr:cNvPr id="9" name="Kép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22494" y="3833812"/>
          <a:ext cx="2235714" cy="1150143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5</xdr:row>
      <xdr:rowOff>0</xdr:rowOff>
    </xdr:from>
    <xdr:to>
      <xdr:col>27</xdr:col>
      <xdr:colOff>533104</xdr:colOff>
      <xdr:row>11</xdr:row>
      <xdr:rowOff>37946</xdr:rowOff>
    </xdr:to>
    <xdr:pic>
      <xdr:nvPicPr>
        <xdr:cNvPr id="10" name="Kép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763625" y="809625"/>
          <a:ext cx="2361905" cy="1228571"/>
        </a:xfrm>
        <a:prstGeom prst="rect">
          <a:avLst/>
        </a:prstGeom>
      </xdr:spPr>
    </xdr:pic>
    <xdr:clientData/>
  </xdr:twoCellAnchor>
  <xdr:twoCellAnchor editAs="oneCell">
    <xdr:from>
      <xdr:col>28</xdr:col>
      <xdr:colOff>438150</xdr:colOff>
      <xdr:row>33</xdr:row>
      <xdr:rowOff>85725</xdr:rowOff>
    </xdr:from>
    <xdr:to>
      <xdr:col>35</xdr:col>
      <xdr:colOff>170949</xdr:colOff>
      <xdr:row>37</xdr:row>
      <xdr:rowOff>171325</xdr:rowOff>
    </xdr:to>
    <xdr:pic>
      <xdr:nvPicPr>
        <xdr:cNvPr id="11" name="Kép 1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640175" y="5867400"/>
          <a:ext cx="4000000" cy="1000000"/>
        </a:xfrm>
        <a:prstGeom prst="rect">
          <a:avLst/>
        </a:prstGeom>
      </xdr:spPr>
    </xdr:pic>
    <xdr:clientData/>
  </xdr:twoCellAnchor>
  <xdr:twoCellAnchor editAs="oneCell">
    <xdr:from>
      <xdr:col>28</xdr:col>
      <xdr:colOff>266700</xdr:colOff>
      <xdr:row>4</xdr:row>
      <xdr:rowOff>152400</xdr:rowOff>
    </xdr:from>
    <xdr:to>
      <xdr:col>34</xdr:col>
      <xdr:colOff>590052</xdr:colOff>
      <xdr:row>10</xdr:row>
      <xdr:rowOff>28442</xdr:rowOff>
    </xdr:to>
    <xdr:pic>
      <xdr:nvPicPr>
        <xdr:cNvPr id="12" name="Kép 1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468725" y="800100"/>
          <a:ext cx="3980952" cy="1066667"/>
        </a:xfrm>
        <a:prstGeom prst="rect">
          <a:avLst/>
        </a:prstGeom>
      </xdr:spPr>
    </xdr:pic>
    <xdr:clientData/>
  </xdr:twoCellAnchor>
  <xdr:twoCellAnchor editAs="oneCell">
    <xdr:from>
      <xdr:col>24</xdr:col>
      <xdr:colOff>171450</xdr:colOff>
      <xdr:row>13</xdr:row>
      <xdr:rowOff>38100</xdr:rowOff>
    </xdr:from>
    <xdr:to>
      <xdr:col>27</xdr:col>
      <xdr:colOff>409316</xdr:colOff>
      <xdr:row>19</xdr:row>
      <xdr:rowOff>104610</xdr:rowOff>
    </xdr:to>
    <xdr:pic>
      <xdr:nvPicPr>
        <xdr:cNvPr id="13" name="Kép 1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35075" y="2143125"/>
          <a:ext cx="2066667" cy="13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381000</xdr:colOff>
      <xdr:row>24</xdr:row>
      <xdr:rowOff>133350</xdr:rowOff>
    </xdr:from>
    <xdr:to>
      <xdr:col>27</xdr:col>
      <xdr:colOff>437913</xdr:colOff>
      <xdr:row>30</xdr:row>
      <xdr:rowOff>142727</xdr:rowOff>
    </xdr:to>
    <xdr:pic>
      <xdr:nvPicPr>
        <xdr:cNvPr id="15" name="Kép 1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144625" y="4124325"/>
          <a:ext cx="1885714" cy="1180952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34</xdr:row>
      <xdr:rowOff>0</xdr:rowOff>
    </xdr:from>
    <xdr:to>
      <xdr:col>27</xdr:col>
      <xdr:colOff>409294</xdr:colOff>
      <xdr:row>38</xdr:row>
      <xdr:rowOff>209550</xdr:rowOff>
    </xdr:to>
    <xdr:pic>
      <xdr:nvPicPr>
        <xdr:cNvPr id="16" name="Kép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763625" y="6010275"/>
          <a:ext cx="2238095" cy="1123950"/>
        </a:xfrm>
        <a:prstGeom prst="rect">
          <a:avLst/>
        </a:prstGeom>
      </xdr:spPr>
    </xdr:pic>
    <xdr:clientData/>
  </xdr:twoCellAnchor>
  <xdr:twoCellAnchor editAs="oneCell">
    <xdr:from>
      <xdr:col>14</xdr:col>
      <xdr:colOff>504825</xdr:colOff>
      <xdr:row>17</xdr:row>
      <xdr:rowOff>9525</xdr:rowOff>
    </xdr:from>
    <xdr:to>
      <xdr:col>18</xdr:col>
      <xdr:colOff>342611</xdr:colOff>
      <xdr:row>26</xdr:row>
      <xdr:rowOff>161707</xdr:rowOff>
    </xdr:to>
    <xdr:pic>
      <xdr:nvPicPr>
        <xdr:cNvPr id="18" name="Kép 1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715625" y="3248025"/>
          <a:ext cx="2314286" cy="174285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12</xdr:row>
          <xdr:rowOff>0</xdr:rowOff>
        </xdr:from>
        <xdr:to>
          <xdr:col>36</xdr:col>
          <xdr:colOff>66675</xdr:colOff>
          <xdr:row>21</xdr:row>
          <xdr:rowOff>152400</xdr:rowOff>
        </xdr:to>
        <xdr:sp macro="" textlink="">
          <xdr:nvSpPr>
            <xdr:cNvPr id="15361" name="Object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600075</xdr:colOff>
      <xdr:row>1</xdr:row>
      <xdr:rowOff>142875</xdr:rowOff>
    </xdr:from>
    <xdr:to>
      <xdr:col>15</xdr:col>
      <xdr:colOff>571500</xdr:colOff>
      <xdr:row>26</xdr:row>
      <xdr:rowOff>12988</xdr:rowOff>
    </xdr:to>
    <xdr:pic>
      <xdr:nvPicPr>
        <xdr:cNvPr id="488473" name="Kép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304800"/>
          <a:ext cx="6067425" cy="461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447675</xdr:colOff>
      <xdr:row>3</xdr:row>
      <xdr:rowOff>171450</xdr:rowOff>
    </xdr:from>
    <xdr:to>
      <xdr:col>23</xdr:col>
      <xdr:colOff>135979</xdr:colOff>
      <xdr:row>12</xdr:row>
      <xdr:rowOff>119203</xdr:rowOff>
    </xdr:to>
    <xdr:pic>
      <xdr:nvPicPr>
        <xdr:cNvPr id="3" name="Kép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5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725275" y="800100"/>
          <a:ext cx="2736304" cy="1909903"/>
        </a:xfrm>
        <a:prstGeom prst="rect">
          <a:avLst/>
        </a:prstGeom>
      </xdr:spPr>
    </xdr:pic>
    <xdr:clientData/>
  </xdr:twoCellAnchor>
  <xdr:twoCellAnchor editAs="oneCell">
    <xdr:from>
      <xdr:col>24</xdr:col>
      <xdr:colOff>38100</xdr:colOff>
      <xdr:row>1</xdr:row>
      <xdr:rowOff>95250</xdr:rowOff>
    </xdr:from>
    <xdr:to>
      <xdr:col>28</xdr:col>
      <xdr:colOff>247319</xdr:colOff>
      <xdr:row>3</xdr:row>
      <xdr:rowOff>133287</xdr:rowOff>
    </xdr:to>
    <xdr:pic>
      <xdr:nvPicPr>
        <xdr:cNvPr id="2" name="Kép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973300" y="257175"/>
          <a:ext cx="2647619" cy="504762"/>
        </a:xfrm>
        <a:prstGeom prst="rect">
          <a:avLst/>
        </a:prstGeom>
      </xdr:spPr>
    </xdr:pic>
    <xdr:clientData/>
  </xdr:twoCellAnchor>
  <xdr:twoCellAnchor>
    <xdr:from>
      <xdr:col>17</xdr:col>
      <xdr:colOff>152400</xdr:colOff>
      <xdr:row>2</xdr:row>
      <xdr:rowOff>0</xdr:rowOff>
    </xdr:from>
    <xdr:to>
      <xdr:col>17</xdr:col>
      <xdr:colOff>352425</xdr:colOff>
      <xdr:row>2</xdr:row>
      <xdr:rowOff>228600</xdr:rowOff>
    </xdr:to>
    <xdr:sp macro="" textlink="">
      <xdr:nvSpPr>
        <xdr:cNvPr id="4" name="Lefelé nyíl 3"/>
        <xdr:cNvSpPr/>
      </xdr:nvSpPr>
      <xdr:spPr bwMode="auto">
        <a:xfrm>
          <a:off x="10820400" y="390525"/>
          <a:ext cx="200025" cy="228600"/>
        </a:xfrm>
        <a:prstGeom prst="downArrow">
          <a:avLst/>
        </a:prstGeom>
        <a:solidFill>
          <a:srgbClr val="FF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hu-HU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</xdr:row>
          <xdr:rowOff>0</xdr:rowOff>
        </xdr:from>
        <xdr:to>
          <xdr:col>8</xdr:col>
          <xdr:colOff>19050</xdr:colOff>
          <xdr:row>34</xdr:row>
          <xdr:rowOff>133350</xdr:rowOff>
        </xdr:to>
        <xdr:sp macro="" textlink="">
          <xdr:nvSpPr>
            <xdr:cNvPr id="16385" name="Object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9</xdr:col>
      <xdr:colOff>228600</xdr:colOff>
      <xdr:row>6</xdr:row>
      <xdr:rowOff>28575</xdr:rowOff>
    </xdr:from>
    <xdr:to>
      <xdr:col>19</xdr:col>
      <xdr:colOff>408790</xdr:colOff>
      <xdr:row>34</xdr:row>
      <xdr:rowOff>132770</xdr:rowOff>
    </xdr:to>
    <xdr:pic>
      <xdr:nvPicPr>
        <xdr:cNvPr id="2" name="Kép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5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15000" y="1228725"/>
          <a:ext cx="6276190" cy="4638095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6</xdr:row>
      <xdr:rowOff>0</xdr:rowOff>
    </xdr:from>
    <xdr:to>
      <xdr:col>30</xdr:col>
      <xdr:colOff>132571</xdr:colOff>
      <xdr:row>34</xdr:row>
      <xdr:rowOff>132767</xdr:rowOff>
    </xdr:to>
    <xdr:pic>
      <xdr:nvPicPr>
        <xdr:cNvPr id="3" name="Kép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5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192000" y="1266825"/>
          <a:ext cx="6228571" cy="4666667"/>
        </a:xfrm>
        <a:prstGeom prst="rect">
          <a:avLst/>
        </a:prstGeom>
      </xdr:spPr>
    </xdr:pic>
    <xdr:clientData/>
  </xdr:twoCellAnchor>
  <xdr:twoCellAnchor editAs="oneCell">
    <xdr:from>
      <xdr:col>16</xdr:col>
      <xdr:colOff>381000</xdr:colOff>
      <xdr:row>0</xdr:row>
      <xdr:rowOff>76200</xdr:rowOff>
    </xdr:from>
    <xdr:to>
      <xdr:col>21</xdr:col>
      <xdr:colOff>390525</xdr:colOff>
      <xdr:row>4</xdr:row>
      <xdr:rowOff>120216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lum bright="-18000" contrast="4000"/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4600" y="76200"/>
          <a:ext cx="3057525" cy="920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314325</xdr:colOff>
      <xdr:row>3</xdr:row>
      <xdr:rowOff>28575</xdr:rowOff>
    </xdr:from>
    <xdr:to>
      <xdr:col>16</xdr:col>
      <xdr:colOff>114300</xdr:colOff>
      <xdr:row>3</xdr:row>
      <xdr:rowOff>228600</xdr:rowOff>
    </xdr:to>
    <xdr:sp macro="" textlink="">
      <xdr:nvSpPr>
        <xdr:cNvPr id="5" name="Jobbra nyíl 4"/>
        <xdr:cNvSpPr/>
      </xdr:nvSpPr>
      <xdr:spPr bwMode="auto">
        <a:xfrm>
          <a:off x="9458325" y="647700"/>
          <a:ext cx="409575" cy="200025"/>
        </a:xfrm>
        <a:prstGeom prst="rightArrow">
          <a:avLst/>
        </a:prstGeom>
        <a:solidFill>
          <a:srgbClr val="FF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hu-HU" sz="1100"/>
        </a:p>
      </xdr:txBody>
    </xdr:sp>
    <xdr:clientData/>
  </xdr:twoCellAnchor>
  <xdr:twoCellAnchor editAs="oneCell">
    <xdr:from>
      <xdr:col>9</xdr:col>
      <xdr:colOff>304800</xdr:colOff>
      <xdr:row>31</xdr:row>
      <xdr:rowOff>0</xdr:rowOff>
    </xdr:from>
    <xdr:to>
      <xdr:col>11</xdr:col>
      <xdr:colOff>17928</xdr:colOff>
      <xdr:row>34</xdr:row>
      <xdr:rowOff>76092</xdr:rowOff>
    </xdr:to>
    <xdr:pic>
      <xdr:nvPicPr>
        <xdr:cNvPr id="7" name="Kép 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91200" y="5314950"/>
          <a:ext cx="932328" cy="561867"/>
        </a:xfrm>
        <a:prstGeom prst="rect">
          <a:avLst/>
        </a:prstGeom>
      </xdr:spPr>
    </xdr:pic>
    <xdr:clientData/>
  </xdr:twoCellAnchor>
  <xdr:twoCellAnchor editAs="oneCell">
    <xdr:from>
      <xdr:col>20</xdr:col>
      <xdr:colOff>95250</xdr:colOff>
      <xdr:row>30</xdr:row>
      <xdr:rowOff>152400</xdr:rowOff>
    </xdr:from>
    <xdr:to>
      <xdr:col>21</xdr:col>
      <xdr:colOff>417978</xdr:colOff>
      <xdr:row>34</xdr:row>
      <xdr:rowOff>66567</xdr:rowOff>
    </xdr:to>
    <xdr:pic>
      <xdr:nvPicPr>
        <xdr:cNvPr id="8" name="Kép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287250" y="5305425"/>
          <a:ext cx="932328" cy="56186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180975</xdr:colOff>
      <xdr:row>22</xdr:row>
      <xdr:rowOff>19050</xdr:rowOff>
    </xdr:from>
    <xdr:to>
      <xdr:col>14</xdr:col>
      <xdr:colOff>514350</xdr:colOff>
      <xdr:row>35</xdr:row>
      <xdr:rowOff>47625</xdr:rowOff>
    </xdr:to>
    <xdr:graphicFrame macro="">
      <xdr:nvGraphicFramePr>
        <xdr:cNvPr id="5429" name="Diagra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161925</xdr:colOff>
      <xdr:row>35</xdr:row>
      <xdr:rowOff>66675</xdr:rowOff>
    </xdr:from>
    <xdr:to>
      <xdr:col>14</xdr:col>
      <xdr:colOff>533400</xdr:colOff>
      <xdr:row>49</xdr:row>
      <xdr:rowOff>38100</xdr:rowOff>
    </xdr:to>
    <xdr:graphicFrame macro="">
      <xdr:nvGraphicFramePr>
        <xdr:cNvPr id="5430" name="Diagra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76200</xdr:colOff>
      <xdr:row>9</xdr:row>
      <xdr:rowOff>123825</xdr:rowOff>
    </xdr:from>
    <xdr:to>
      <xdr:col>14</xdr:col>
      <xdr:colOff>485775</xdr:colOff>
      <xdr:row>22</xdr:row>
      <xdr:rowOff>9525</xdr:rowOff>
    </xdr:to>
    <xdr:graphicFrame macro="">
      <xdr:nvGraphicFramePr>
        <xdr:cNvPr id="5431" name="Diagram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15</xdr:col>
      <xdr:colOff>736600</xdr:colOff>
      <xdr:row>8</xdr:row>
      <xdr:rowOff>25400</xdr:rowOff>
    </xdr:from>
    <xdr:to>
      <xdr:col>30</xdr:col>
      <xdr:colOff>228600</xdr:colOff>
      <xdr:row>56</xdr:row>
      <xdr:rowOff>155102</xdr:rowOff>
    </xdr:to>
    <xdr:pic>
      <xdr:nvPicPr>
        <xdr:cNvPr id="3" name="Kép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5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802600" y="2108200"/>
          <a:ext cx="10972800" cy="8054502"/>
        </a:xfrm>
        <a:prstGeom prst="rect">
          <a:avLst/>
        </a:prstGeom>
      </xdr:spPr>
    </xdr:pic>
    <xdr:clientData/>
  </xdr:twoCellAnchor>
  <xdr:twoCellAnchor>
    <xdr:from>
      <xdr:col>6</xdr:col>
      <xdr:colOff>127000</xdr:colOff>
      <xdr:row>50</xdr:row>
      <xdr:rowOff>146048</xdr:rowOff>
    </xdr:from>
    <xdr:to>
      <xdr:col>9</xdr:col>
      <xdr:colOff>1231900</xdr:colOff>
      <xdr:row>70</xdr:row>
      <xdr:rowOff>50799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76200</xdr:colOff>
      <xdr:row>51</xdr:row>
      <xdr:rowOff>19048</xdr:rowOff>
    </xdr:from>
    <xdr:to>
      <xdr:col>14</xdr:col>
      <xdr:colOff>558800</xdr:colOff>
      <xdr:row>70</xdr:row>
      <xdr:rowOff>50799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346074</xdr:colOff>
      <xdr:row>11</xdr:row>
      <xdr:rowOff>9525</xdr:rowOff>
    </xdr:from>
    <xdr:to>
      <xdr:col>24</xdr:col>
      <xdr:colOff>850899</xdr:colOff>
      <xdr:row>46</xdr:row>
      <xdr:rowOff>36945</xdr:rowOff>
    </xdr:to>
    <xdr:pic>
      <xdr:nvPicPr>
        <xdr:cNvPr id="2189" name="Kép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40774" y="2752725"/>
          <a:ext cx="7629525" cy="5805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1117600</xdr:colOff>
      <xdr:row>13</xdr:row>
      <xdr:rowOff>76200</xdr:rowOff>
    </xdr:from>
    <xdr:to>
      <xdr:col>13</xdr:col>
      <xdr:colOff>323850</xdr:colOff>
      <xdr:row>30</xdr:row>
      <xdr:rowOff>12700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508000</xdr:colOff>
      <xdr:row>35</xdr:row>
      <xdr:rowOff>0</xdr:rowOff>
    </xdr:from>
    <xdr:to>
      <xdr:col>14</xdr:col>
      <xdr:colOff>431800</xdr:colOff>
      <xdr:row>51</xdr:row>
      <xdr:rowOff>101600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24</xdr:col>
      <xdr:colOff>818561</xdr:colOff>
      <xdr:row>11</xdr:row>
      <xdr:rowOff>0</xdr:rowOff>
    </xdr:from>
    <xdr:to>
      <xdr:col>35</xdr:col>
      <xdr:colOff>586754</xdr:colOff>
      <xdr:row>45</xdr:row>
      <xdr:rowOff>38100</xdr:rowOff>
    </xdr:to>
    <xdr:pic>
      <xdr:nvPicPr>
        <xdr:cNvPr id="4" name="Kép 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harpenSoften amount="5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660261" y="2743200"/>
          <a:ext cx="7375493" cy="5651500"/>
        </a:xfrm>
        <a:prstGeom prst="rect">
          <a:avLst/>
        </a:prstGeom>
      </xdr:spPr>
    </xdr:pic>
    <xdr:clientData/>
  </xdr:twoCellAnchor>
  <xdr:twoCellAnchor editAs="oneCell">
    <xdr:from>
      <xdr:col>38</xdr:col>
      <xdr:colOff>190500</xdr:colOff>
      <xdr:row>8</xdr:row>
      <xdr:rowOff>130969</xdr:rowOff>
    </xdr:from>
    <xdr:to>
      <xdr:col>44</xdr:col>
      <xdr:colOff>99568</xdr:colOff>
      <xdr:row>21</xdr:row>
      <xdr:rowOff>28292</xdr:rowOff>
    </xdr:to>
    <xdr:pic>
      <xdr:nvPicPr>
        <xdr:cNvPr id="6" name="Kép 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576250" y="2286000"/>
          <a:ext cx="3552381" cy="226666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1276350</xdr:colOff>
      <xdr:row>20</xdr:row>
      <xdr:rowOff>57150</xdr:rowOff>
    </xdr:from>
    <xdr:to>
      <xdr:col>12</xdr:col>
      <xdr:colOff>551819</xdr:colOff>
      <xdr:row>37</xdr:row>
      <xdr:rowOff>18663</xdr:rowOff>
    </xdr:to>
    <xdr:pic>
      <xdr:nvPicPr>
        <xdr:cNvPr id="2" name="Kép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96275" y="3733800"/>
          <a:ext cx="5047619" cy="3095238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</xdr:row>
      <xdr:rowOff>47626</xdr:rowOff>
    </xdr:from>
    <xdr:to>
      <xdr:col>12</xdr:col>
      <xdr:colOff>493879</xdr:colOff>
      <xdr:row>17</xdr:row>
      <xdr:rowOff>133350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781176"/>
          <a:ext cx="4875379" cy="19145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13</xdr:col>
      <xdr:colOff>0</xdr:colOff>
      <xdr:row>9</xdr:row>
      <xdr:rowOff>0</xdr:rowOff>
    </xdr:from>
    <xdr:to>
      <xdr:col>17</xdr:col>
      <xdr:colOff>1224888</xdr:colOff>
      <xdr:row>31</xdr:row>
      <xdr:rowOff>94693</xdr:rowOff>
    </xdr:to>
    <xdr:pic>
      <xdr:nvPicPr>
        <xdr:cNvPr id="4" name="Kép 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5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982700" y="2181225"/>
          <a:ext cx="5295238" cy="4457143"/>
        </a:xfrm>
        <a:prstGeom prst="rect">
          <a:avLst/>
        </a:prstGeom>
      </xdr:spPr>
    </xdr:pic>
    <xdr:clientData/>
  </xdr:twoCellAnchor>
  <xdr:twoCellAnchor editAs="oneCell">
    <xdr:from>
      <xdr:col>13</xdr:col>
      <xdr:colOff>295275</xdr:colOff>
      <xdr:row>37</xdr:row>
      <xdr:rowOff>28575</xdr:rowOff>
    </xdr:from>
    <xdr:to>
      <xdr:col>19</xdr:col>
      <xdr:colOff>551676</xdr:colOff>
      <xdr:row>58</xdr:row>
      <xdr:rowOff>104340</xdr:rowOff>
    </xdr:to>
    <xdr:pic>
      <xdr:nvPicPr>
        <xdr:cNvPr id="5" name="Kép 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sharpenSoften amount="5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4277975" y="6743700"/>
          <a:ext cx="6190476" cy="3476190"/>
        </a:xfrm>
        <a:prstGeom prst="rect">
          <a:avLst/>
        </a:prstGeom>
      </xdr:spPr>
    </xdr:pic>
    <xdr:clientData/>
  </xdr:twoCellAnchor>
  <xdr:twoCellAnchor editAs="oneCell">
    <xdr:from>
      <xdr:col>15</xdr:col>
      <xdr:colOff>295275</xdr:colOff>
      <xdr:row>41</xdr:row>
      <xdr:rowOff>123825</xdr:rowOff>
    </xdr:from>
    <xdr:to>
      <xdr:col>20</xdr:col>
      <xdr:colOff>104775</xdr:colOff>
      <xdr:row>48</xdr:row>
      <xdr:rowOff>95250</xdr:rowOff>
    </xdr:to>
    <xdr:pic>
      <xdr:nvPicPr>
        <xdr:cNvPr id="6" name="Kép 5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harpenSoften amount="5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259175" y="7486650"/>
          <a:ext cx="4371975" cy="11049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95250</xdr:colOff>
      <xdr:row>22</xdr:row>
      <xdr:rowOff>104775</xdr:rowOff>
    </xdr:from>
    <xdr:to>
      <xdr:col>23</xdr:col>
      <xdr:colOff>342900</xdr:colOff>
      <xdr:row>40</xdr:row>
      <xdr:rowOff>57150</xdr:rowOff>
    </xdr:to>
    <xdr:graphicFrame macro="">
      <xdr:nvGraphicFramePr>
        <xdr:cNvPr id="336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85725</xdr:colOff>
      <xdr:row>40</xdr:row>
      <xdr:rowOff>57150</xdr:rowOff>
    </xdr:from>
    <xdr:to>
      <xdr:col>23</xdr:col>
      <xdr:colOff>333375</xdr:colOff>
      <xdr:row>58</xdr:row>
      <xdr:rowOff>9525</xdr:rowOff>
    </xdr:to>
    <xdr:graphicFrame macro="">
      <xdr:nvGraphicFramePr>
        <xdr:cNvPr id="336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85725</xdr:colOff>
      <xdr:row>3</xdr:row>
      <xdr:rowOff>57150</xdr:rowOff>
    </xdr:from>
    <xdr:to>
      <xdr:col>23</xdr:col>
      <xdr:colOff>333375</xdr:colOff>
      <xdr:row>21</xdr:row>
      <xdr:rowOff>9525</xdr:rowOff>
    </xdr:to>
    <xdr:graphicFrame macro="">
      <xdr:nvGraphicFramePr>
        <xdr:cNvPr id="3365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485775</xdr:colOff>
      <xdr:row>22</xdr:row>
      <xdr:rowOff>133350</xdr:rowOff>
    </xdr:from>
    <xdr:to>
      <xdr:col>35</xdr:col>
      <xdr:colOff>180975</xdr:colOff>
      <xdr:row>39</xdr:row>
      <xdr:rowOff>123825</xdr:rowOff>
    </xdr:to>
    <xdr:graphicFrame macro="">
      <xdr:nvGraphicFramePr>
        <xdr:cNvPr id="3366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36</xdr:col>
      <xdr:colOff>323850</xdr:colOff>
      <xdr:row>22</xdr:row>
      <xdr:rowOff>104775</xdr:rowOff>
    </xdr:from>
    <xdr:to>
      <xdr:col>44</xdr:col>
      <xdr:colOff>152400</xdr:colOff>
      <xdr:row>55</xdr:row>
      <xdr:rowOff>157879</xdr:rowOff>
    </xdr:to>
    <xdr:pic>
      <xdr:nvPicPr>
        <xdr:cNvPr id="3367" name="Kép 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13575" y="4029075"/>
          <a:ext cx="7162800" cy="5396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619125</xdr:colOff>
      <xdr:row>3</xdr:row>
      <xdr:rowOff>85725</xdr:rowOff>
    </xdr:from>
    <xdr:to>
      <xdr:col>36</xdr:col>
      <xdr:colOff>933450</xdr:colOff>
      <xdr:row>17</xdr:row>
      <xdr:rowOff>38101</xdr:rowOff>
    </xdr:to>
    <xdr:pic>
      <xdr:nvPicPr>
        <xdr:cNvPr id="3368" name="Kép 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93525" y="771525"/>
          <a:ext cx="8629650" cy="2238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30</xdr:col>
      <xdr:colOff>161925</xdr:colOff>
      <xdr:row>17</xdr:row>
      <xdr:rowOff>142875</xdr:rowOff>
    </xdr:from>
    <xdr:to>
      <xdr:col>30</xdr:col>
      <xdr:colOff>333375</xdr:colOff>
      <xdr:row>18</xdr:row>
      <xdr:rowOff>152400</xdr:rowOff>
    </xdr:to>
    <xdr:sp macro="" textlink="">
      <xdr:nvSpPr>
        <xdr:cNvPr id="3369" name="Felfelé nyíl 3"/>
        <xdr:cNvSpPr>
          <a:spLocks noChangeArrowheads="1"/>
        </xdr:cNvSpPr>
      </xdr:nvSpPr>
      <xdr:spPr bwMode="auto">
        <a:xfrm>
          <a:off x="18449925" y="2981325"/>
          <a:ext cx="171450" cy="171450"/>
        </a:xfrm>
        <a:prstGeom prst="upArrow">
          <a:avLst>
            <a:gd name="adj1" fmla="val 50000"/>
            <a:gd name="adj2" fmla="val 50000"/>
          </a:avLst>
        </a:prstGeom>
        <a:solidFill>
          <a:srgbClr val="FFFFFF"/>
        </a:solidFill>
        <a:ln w="9525" algn="ctr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133350</xdr:colOff>
      <xdr:row>16</xdr:row>
      <xdr:rowOff>9525</xdr:rowOff>
    </xdr:from>
    <xdr:to>
      <xdr:col>36</xdr:col>
      <xdr:colOff>371475</xdr:colOff>
      <xdr:row>17</xdr:row>
      <xdr:rowOff>133350</xdr:rowOff>
    </xdr:to>
    <xdr:sp macro="" textlink="">
      <xdr:nvSpPr>
        <xdr:cNvPr id="3370" name="Lefelé nyíl 2"/>
        <xdr:cNvSpPr>
          <a:spLocks noChangeArrowheads="1"/>
        </xdr:cNvSpPr>
      </xdr:nvSpPr>
      <xdr:spPr bwMode="auto">
        <a:xfrm>
          <a:off x="22078950" y="2686050"/>
          <a:ext cx="238125" cy="285750"/>
        </a:xfrm>
        <a:prstGeom prst="downArrow">
          <a:avLst>
            <a:gd name="adj1" fmla="val 50000"/>
            <a:gd name="adj2" fmla="val 50000"/>
          </a:avLst>
        </a:prstGeom>
        <a:solidFill>
          <a:srgbClr val="FF0000"/>
        </a:solidFill>
        <a:ln w="9525" algn="ctr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27</xdr:col>
      <xdr:colOff>552450</xdr:colOff>
      <xdr:row>40</xdr:row>
      <xdr:rowOff>47625</xdr:rowOff>
    </xdr:from>
    <xdr:to>
      <xdr:col>35</xdr:col>
      <xdr:colOff>247650</xdr:colOff>
      <xdr:row>57</xdr:row>
      <xdr:rowOff>38100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37</xdr:col>
      <xdr:colOff>419100</xdr:colOff>
      <xdr:row>13</xdr:row>
      <xdr:rowOff>142875</xdr:rowOff>
    </xdr:from>
    <xdr:to>
      <xdr:col>40</xdr:col>
      <xdr:colOff>571500</xdr:colOff>
      <xdr:row>15</xdr:row>
      <xdr:rowOff>123825</xdr:rowOff>
    </xdr:to>
    <xdr:sp macro="" textlink="">
      <xdr:nvSpPr>
        <xdr:cNvPr id="3" name="Szövegdoboz 2"/>
        <xdr:cNvSpPr txBox="1"/>
      </xdr:nvSpPr>
      <xdr:spPr>
        <a:xfrm>
          <a:off x="22974300" y="2333625"/>
          <a:ext cx="1981200" cy="304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1400" b="1">
              <a:solidFill>
                <a:srgbClr val="FF0000"/>
              </a:solidFill>
            </a:rPr>
            <a:t>Lásd a következő lapot!</a:t>
          </a:r>
        </a:p>
      </xdr:txBody>
    </xdr:sp>
    <xdr:clientData/>
  </xdr:twoCellAnchor>
  <xdr:twoCellAnchor editAs="oneCell">
    <xdr:from>
      <xdr:col>28</xdr:col>
      <xdr:colOff>843643</xdr:colOff>
      <xdr:row>14</xdr:row>
      <xdr:rowOff>-1</xdr:rowOff>
    </xdr:from>
    <xdr:to>
      <xdr:col>30</xdr:col>
      <xdr:colOff>232488</xdr:colOff>
      <xdr:row>16</xdr:row>
      <xdr:rowOff>63904</xdr:rowOff>
    </xdr:to>
    <xdr:pic>
      <xdr:nvPicPr>
        <xdr:cNvPr id="4" name="Kép 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635857" y="2544535"/>
          <a:ext cx="1552381" cy="39047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133350</xdr:rowOff>
    </xdr:from>
    <xdr:to>
      <xdr:col>20</xdr:col>
      <xdr:colOff>40070</xdr:colOff>
      <xdr:row>23</xdr:row>
      <xdr:rowOff>114300</xdr:rowOff>
    </xdr:to>
    <xdr:pic>
      <xdr:nvPicPr>
        <xdr:cNvPr id="3" name="Kép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5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600" y="133350"/>
          <a:ext cx="11622470" cy="4086225"/>
        </a:xfrm>
        <a:prstGeom prst="rect">
          <a:avLst/>
        </a:prstGeom>
      </xdr:spPr>
    </xdr:pic>
    <xdr:clientData/>
  </xdr:twoCellAnchor>
  <xdr:twoCellAnchor>
    <xdr:from>
      <xdr:col>30</xdr:col>
      <xdr:colOff>66676</xdr:colOff>
      <xdr:row>15</xdr:row>
      <xdr:rowOff>47625</xdr:rowOff>
    </xdr:from>
    <xdr:to>
      <xdr:col>39</xdr:col>
      <xdr:colOff>295276</xdr:colOff>
      <xdr:row>31</xdr:row>
      <xdr:rowOff>66675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40</xdr:col>
      <xdr:colOff>371475</xdr:colOff>
      <xdr:row>15</xdr:row>
      <xdr:rowOff>95250</xdr:rowOff>
    </xdr:from>
    <xdr:to>
      <xdr:col>49</xdr:col>
      <xdr:colOff>257175</xdr:colOff>
      <xdr:row>31</xdr:row>
      <xdr:rowOff>114300</xdr:rowOff>
    </xdr:to>
    <xdr:graphicFrame macro="">
      <xdr:nvGraphicFramePr>
        <xdr:cNvPr id="5" name="Diagra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43</xdr:col>
      <xdr:colOff>47625</xdr:colOff>
      <xdr:row>3</xdr:row>
      <xdr:rowOff>114300</xdr:rowOff>
    </xdr:from>
    <xdr:to>
      <xdr:col>46</xdr:col>
      <xdr:colOff>256921</xdr:colOff>
      <xdr:row>12</xdr:row>
      <xdr:rowOff>85525</xdr:rowOff>
    </xdr:to>
    <xdr:pic>
      <xdr:nvPicPr>
        <xdr:cNvPr id="7" name="Kép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harpenSoften amount="5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907625" y="666750"/>
          <a:ext cx="2038095" cy="1600000"/>
        </a:xfrm>
        <a:prstGeom prst="rect">
          <a:avLst/>
        </a:prstGeom>
      </xdr:spPr>
    </xdr:pic>
    <xdr:clientData/>
  </xdr:twoCellAnchor>
  <xdr:twoCellAnchor editAs="oneCell">
    <xdr:from>
      <xdr:col>8</xdr:col>
      <xdr:colOff>219075</xdr:colOff>
      <xdr:row>16</xdr:row>
      <xdr:rowOff>76200</xdr:rowOff>
    </xdr:from>
    <xdr:to>
      <xdr:col>10</xdr:col>
      <xdr:colOff>2256</xdr:colOff>
      <xdr:row>19</xdr:row>
      <xdr:rowOff>57083</xdr:rowOff>
    </xdr:to>
    <xdr:pic>
      <xdr:nvPicPr>
        <xdr:cNvPr id="8" name="Kép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095875" y="2962275"/>
          <a:ext cx="1000000" cy="533333"/>
        </a:xfrm>
        <a:prstGeom prst="rect">
          <a:avLst/>
        </a:prstGeom>
      </xdr:spPr>
    </xdr:pic>
    <xdr:clientData/>
  </xdr:twoCellAnchor>
  <xdr:twoCellAnchor editAs="oneCell">
    <xdr:from>
      <xdr:col>30</xdr:col>
      <xdr:colOff>123825</xdr:colOff>
      <xdr:row>6</xdr:row>
      <xdr:rowOff>85725</xdr:rowOff>
    </xdr:from>
    <xdr:to>
      <xdr:col>36</xdr:col>
      <xdr:colOff>542568</xdr:colOff>
      <xdr:row>14</xdr:row>
      <xdr:rowOff>104599</xdr:rowOff>
    </xdr:to>
    <xdr:pic>
      <xdr:nvPicPr>
        <xdr:cNvPr id="9" name="Kép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harpenSoften amount="5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716625" y="1257300"/>
          <a:ext cx="2857143" cy="1409524"/>
        </a:xfrm>
        <a:prstGeom prst="rect">
          <a:avLst/>
        </a:prstGeom>
      </xdr:spPr>
    </xdr:pic>
    <xdr:clientData/>
  </xdr:twoCellAnchor>
  <xdr:twoCellAnchor editAs="oneCell">
    <xdr:from>
      <xdr:col>12</xdr:col>
      <xdr:colOff>295275</xdr:colOff>
      <xdr:row>16</xdr:row>
      <xdr:rowOff>114300</xdr:rowOff>
    </xdr:from>
    <xdr:to>
      <xdr:col>15</xdr:col>
      <xdr:colOff>276225</xdr:colOff>
      <xdr:row>19</xdr:row>
      <xdr:rowOff>95183</xdr:rowOff>
    </xdr:to>
    <xdr:pic>
      <xdr:nvPicPr>
        <xdr:cNvPr id="10" name="Kép 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610475" y="3000375"/>
          <a:ext cx="1809750" cy="533333"/>
        </a:xfrm>
        <a:prstGeom prst="rect">
          <a:avLst/>
        </a:prstGeom>
      </xdr:spPr>
    </xdr:pic>
    <xdr:clientData/>
  </xdr:twoCellAnchor>
  <xdr:twoCellAnchor editAs="oneCell">
    <xdr:from>
      <xdr:col>51</xdr:col>
      <xdr:colOff>28575</xdr:colOff>
      <xdr:row>7</xdr:row>
      <xdr:rowOff>85725</xdr:rowOff>
    </xdr:from>
    <xdr:to>
      <xdr:col>56</xdr:col>
      <xdr:colOff>85337</xdr:colOff>
      <xdr:row>18</xdr:row>
      <xdr:rowOff>190264</xdr:rowOff>
    </xdr:to>
    <xdr:pic>
      <xdr:nvPicPr>
        <xdr:cNvPr id="2" name="Kép 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sharpenSoften amount="5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422975" y="1514475"/>
          <a:ext cx="3104762" cy="1885714"/>
        </a:xfrm>
        <a:prstGeom prst="rect">
          <a:avLst/>
        </a:prstGeom>
      </xdr:spPr>
    </xdr:pic>
    <xdr:clientData/>
  </xdr:twoCellAnchor>
  <xdr:twoCellAnchor>
    <xdr:from>
      <xdr:col>16</xdr:col>
      <xdr:colOff>495300</xdr:colOff>
      <xdr:row>21</xdr:row>
      <xdr:rowOff>76199</xdr:rowOff>
    </xdr:from>
    <xdr:to>
      <xdr:col>17</xdr:col>
      <xdr:colOff>581025</xdr:colOff>
      <xdr:row>23</xdr:row>
      <xdr:rowOff>47624</xdr:rowOff>
    </xdr:to>
    <xdr:sp macro="" textlink="">
      <xdr:nvSpPr>
        <xdr:cNvPr id="6" name="Szövegdoboz 5"/>
        <xdr:cNvSpPr txBox="1"/>
      </xdr:nvSpPr>
      <xdr:spPr>
        <a:xfrm>
          <a:off x="10248900" y="3781424"/>
          <a:ext cx="695325" cy="2952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1400" b="1"/>
            <a:t>y</a:t>
          </a:r>
          <a:r>
            <a:rPr lang="hu-HU" sz="1400" b="1" baseline="-25000"/>
            <a:t>0</a:t>
          </a:r>
          <a:r>
            <a:rPr lang="hu-HU" sz="1400" b="1"/>
            <a:t>=r</a:t>
          </a:r>
          <a:r>
            <a:rPr lang="hu-HU" sz="1400" b="1" baseline="-25000"/>
            <a:t>0</a:t>
          </a:r>
        </a:p>
      </xdr:txBody>
    </xdr:sp>
    <xdr:clientData/>
  </xdr:twoCellAnchor>
  <xdr:twoCellAnchor>
    <xdr:from>
      <xdr:col>54</xdr:col>
      <xdr:colOff>314324</xdr:colOff>
      <xdr:row>13</xdr:row>
      <xdr:rowOff>9524</xdr:rowOff>
    </xdr:from>
    <xdr:to>
      <xdr:col>54</xdr:col>
      <xdr:colOff>571499</xdr:colOff>
      <xdr:row>14</xdr:row>
      <xdr:rowOff>66674</xdr:rowOff>
    </xdr:to>
    <xdr:sp macro="" textlink="">
      <xdr:nvSpPr>
        <xdr:cNvPr id="11" name="Szövegdoboz 10"/>
        <xdr:cNvSpPr txBox="1"/>
      </xdr:nvSpPr>
      <xdr:spPr>
        <a:xfrm>
          <a:off x="33537524" y="2409824"/>
          <a:ext cx="257175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1100"/>
            <a:t>1</a:t>
          </a:r>
        </a:p>
      </xdr:txBody>
    </xdr:sp>
    <xdr:clientData/>
  </xdr:twoCellAnchor>
  <xdr:twoCellAnchor>
    <xdr:from>
      <xdr:col>50</xdr:col>
      <xdr:colOff>95250</xdr:colOff>
      <xdr:row>19</xdr:row>
      <xdr:rowOff>9525</xdr:rowOff>
    </xdr:from>
    <xdr:to>
      <xdr:col>57</xdr:col>
      <xdr:colOff>400050</xdr:colOff>
      <xdr:row>35</xdr:row>
      <xdr:rowOff>28575</xdr:rowOff>
    </xdr:to>
    <xdr:graphicFrame macro="">
      <xdr:nvGraphicFramePr>
        <xdr:cNvPr id="12" name="Diagram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0</xdr:col>
      <xdr:colOff>590551</xdr:colOff>
      <xdr:row>33</xdr:row>
      <xdr:rowOff>9525</xdr:rowOff>
    </xdr:from>
    <xdr:to>
      <xdr:col>6</xdr:col>
      <xdr:colOff>334331</xdr:colOff>
      <xdr:row>50</xdr:row>
      <xdr:rowOff>114300</xdr:rowOff>
    </xdr:to>
    <xdr:pic>
      <xdr:nvPicPr>
        <xdr:cNvPr id="13" name="Kép 1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90551" y="5848350"/>
          <a:ext cx="3401380" cy="3057525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55</xdr:row>
      <xdr:rowOff>39737</xdr:rowOff>
    </xdr:from>
    <xdr:to>
      <xdr:col>13</xdr:col>
      <xdr:colOff>475514</xdr:colOff>
      <xdr:row>77</xdr:row>
      <xdr:rowOff>58738</xdr:rowOff>
    </xdr:to>
    <xdr:pic>
      <xdr:nvPicPr>
        <xdr:cNvPr id="14" name="Kép 1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943475" y="9440912"/>
          <a:ext cx="3456839" cy="3731370"/>
        </a:xfrm>
        <a:prstGeom prst="rect">
          <a:avLst/>
        </a:prstGeom>
      </xdr:spPr>
    </xdr:pic>
    <xdr:clientData/>
  </xdr:twoCellAnchor>
  <xdr:twoCellAnchor editAs="oneCell">
    <xdr:from>
      <xdr:col>7</xdr:col>
      <xdr:colOff>567938</xdr:colOff>
      <xdr:row>33</xdr:row>
      <xdr:rowOff>85725</xdr:rowOff>
    </xdr:from>
    <xdr:to>
      <xdr:col>14</xdr:col>
      <xdr:colOff>28575</xdr:colOff>
      <xdr:row>50</xdr:row>
      <xdr:rowOff>91501</xdr:rowOff>
    </xdr:to>
    <xdr:pic>
      <xdr:nvPicPr>
        <xdr:cNvPr id="15" name="Kép 1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35138" y="5924550"/>
          <a:ext cx="3727837" cy="2958526"/>
        </a:xfrm>
        <a:prstGeom prst="rect">
          <a:avLst/>
        </a:prstGeom>
      </xdr:spPr>
    </xdr:pic>
    <xdr:clientData/>
  </xdr:twoCellAnchor>
  <xdr:twoCellAnchor editAs="oneCell">
    <xdr:from>
      <xdr:col>14</xdr:col>
      <xdr:colOff>381000</xdr:colOff>
      <xdr:row>33</xdr:row>
      <xdr:rowOff>43718</xdr:rowOff>
    </xdr:from>
    <xdr:to>
      <xdr:col>20</xdr:col>
      <xdr:colOff>180121</xdr:colOff>
      <xdr:row>50</xdr:row>
      <xdr:rowOff>94507</xdr:rowOff>
    </xdr:to>
    <xdr:pic>
      <xdr:nvPicPr>
        <xdr:cNvPr id="16" name="Kép 1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915400" y="5882543"/>
          <a:ext cx="3456721" cy="3003539"/>
        </a:xfrm>
        <a:prstGeom prst="rect">
          <a:avLst/>
        </a:prstGeom>
      </xdr:spPr>
    </xdr:pic>
    <xdr:clientData/>
  </xdr:twoCellAnchor>
  <xdr:twoCellAnchor editAs="oneCell">
    <xdr:from>
      <xdr:col>31</xdr:col>
      <xdr:colOff>133350</xdr:colOff>
      <xdr:row>37</xdr:row>
      <xdr:rowOff>133351</xdr:rowOff>
    </xdr:from>
    <xdr:to>
      <xdr:col>41</xdr:col>
      <xdr:colOff>345281</xdr:colOff>
      <xdr:row>53</xdr:row>
      <xdr:rowOff>218829</xdr:rowOff>
    </xdr:to>
    <xdr:pic>
      <xdr:nvPicPr>
        <xdr:cNvPr id="17" name="Kép 16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9335750" y="6905626"/>
          <a:ext cx="5314950" cy="2676278"/>
        </a:xfrm>
        <a:prstGeom prst="rect">
          <a:avLst/>
        </a:prstGeom>
      </xdr:spPr>
    </xdr:pic>
    <xdr:clientData/>
  </xdr:twoCellAnchor>
  <xdr:twoCellAnchor editAs="oneCell">
    <xdr:from>
      <xdr:col>42</xdr:col>
      <xdr:colOff>228601</xdr:colOff>
      <xdr:row>37</xdr:row>
      <xdr:rowOff>85726</xdr:rowOff>
    </xdr:from>
    <xdr:to>
      <xdr:col>51</xdr:col>
      <xdr:colOff>607218</xdr:colOff>
      <xdr:row>54</xdr:row>
      <xdr:rowOff>69348</xdr:rowOff>
    </xdr:to>
    <xdr:pic>
      <xdr:nvPicPr>
        <xdr:cNvPr id="18" name="Kép 17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917401" y="6858001"/>
          <a:ext cx="5867399" cy="2803022"/>
        </a:xfrm>
        <a:prstGeom prst="rect">
          <a:avLst/>
        </a:prstGeom>
      </xdr:spPr>
    </xdr:pic>
    <xdr:clientData/>
  </xdr:twoCellAnchor>
  <xdr:twoCellAnchor editAs="oneCell">
    <xdr:from>
      <xdr:col>32</xdr:col>
      <xdr:colOff>0</xdr:colOff>
      <xdr:row>56</xdr:row>
      <xdr:rowOff>0</xdr:rowOff>
    </xdr:from>
    <xdr:to>
      <xdr:col>45</xdr:col>
      <xdr:colOff>570464</xdr:colOff>
      <xdr:row>74</xdr:row>
      <xdr:rowOff>132958</xdr:rowOff>
    </xdr:to>
    <xdr:pic>
      <xdr:nvPicPr>
        <xdr:cNvPr id="19" name="Kép 18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740563" y="10108406"/>
          <a:ext cx="8285714" cy="31333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36.emf"/><Relationship Id="rId4" Type="http://schemas.openxmlformats.org/officeDocument/2006/relationships/oleObject" Target="../embeddings/oleObject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8.bin"/><Relationship Id="rId5" Type="http://schemas.openxmlformats.org/officeDocument/2006/relationships/image" Target="../media/image79.emf"/><Relationship Id="rId4" Type="http://schemas.openxmlformats.org/officeDocument/2006/relationships/oleObject" Target="../embeddings/oleObject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7.emf"/><Relationship Id="rId4" Type="http://schemas.openxmlformats.org/officeDocument/2006/relationships/oleObject" Target="../embeddings/oleObject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/>
  <dimension ref="H3:U23"/>
  <sheetViews>
    <sheetView tabSelected="1" zoomScale="80" zoomScaleNormal="80" workbookViewId="0">
      <selection activeCell="Q17" sqref="Q17"/>
    </sheetView>
  </sheetViews>
  <sheetFormatPr defaultRowHeight="12.75" x14ac:dyDescent="0.2"/>
  <sheetData>
    <row r="3" spans="15:21" ht="23.25" x14ac:dyDescent="0.35">
      <c r="O3" s="43" t="s">
        <v>59</v>
      </c>
      <c r="P3" s="43"/>
      <c r="Q3" s="43"/>
      <c r="R3" s="43"/>
      <c r="S3" s="43"/>
      <c r="T3" s="43"/>
      <c r="U3" s="43"/>
    </row>
    <row r="4" spans="15:21" ht="23.25" x14ac:dyDescent="0.35">
      <c r="O4" s="43"/>
      <c r="P4" s="43"/>
      <c r="Q4" s="43"/>
      <c r="R4" s="43"/>
      <c r="S4" s="43"/>
      <c r="T4" s="43"/>
      <c r="U4" s="43"/>
    </row>
    <row r="5" spans="15:21" ht="23.25" x14ac:dyDescent="0.35">
      <c r="O5" s="75" t="s">
        <v>60</v>
      </c>
      <c r="P5" s="43"/>
      <c r="Q5" s="43"/>
      <c r="R5" s="43"/>
      <c r="S5" s="43"/>
      <c r="T5" s="43"/>
      <c r="U5" s="43"/>
    </row>
    <row r="6" spans="15:21" ht="23.25" x14ac:dyDescent="0.35">
      <c r="O6" s="43"/>
      <c r="P6" s="43"/>
      <c r="Q6" s="43"/>
      <c r="R6" s="43"/>
      <c r="S6" s="43"/>
      <c r="T6" s="43"/>
      <c r="U6" s="43"/>
    </row>
    <row r="7" spans="15:21" ht="23.25" x14ac:dyDescent="0.35">
      <c r="O7" s="75" t="s">
        <v>61</v>
      </c>
      <c r="P7" s="43"/>
      <c r="Q7" s="43"/>
      <c r="R7" s="43"/>
      <c r="S7" s="43"/>
      <c r="T7" s="43"/>
      <c r="U7" s="43"/>
    </row>
    <row r="8" spans="15:21" ht="23.25" x14ac:dyDescent="0.35">
      <c r="O8" s="43" t="s">
        <v>62</v>
      </c>
      <c r="P8" s="43"/>
      <c r="Q8" s="43"/>
      <c r="R8" s="43"/>
      <c r="S8" s="43"/>
      <c r="T8" s="43"/>
      <c r="U8" s="43"/>
    </row>
    <row r="9" spans="15:21" ht="23.25" x14ac:dyDescent="0.35">
      <c r="O9" s="43"/>
      <c r="P9" s="43"/>
      <c r="Q9" s="43"/>
      <c r="R9" s="43"/>
      <c r="S9" s="43"/>
      <c r="T9" s="43"/>
      <c r="U9" s="43"/>
    </row>
    <row r="10" spans="15:21" ht="23.25" x14ac:dyDescent="0.35">
      <c r="O10" s="43" t="s">
        <v>216</v>
      </c>
      <c r="P10" s="43"/>
      <c r="Q10" s="43"/>
      <c r="R10" s="43"/>
      <c r="S10" s="43"/>
      <c r="T10" s="43"/>
      <c r="U10" s="43"/>
    </row>
    <row r="11" spans="15:21" ht="23.25" x14ac:dyDescent="0.35">
      <c r="O11" s="43"/>
      <c r="P11" s="43"/>
      <c r="Q11" s="43"/>
      <c r="R11" s="43"/>
      <c r="S11" s="43"/>
      <c r="T11" s="43"/>
      <c r="U11" s="43"/>
    </row>
    <row r="13" spans="15:21" ht="27.75" x14ac:dyDescent="0.4">
      <c r="O13" s="182" t="s">
        <v>396</v>
      </c>
    </row>
    <row r="23" spans="8:8" x14ac:dyDescent="0.2">
      <c r="H23" t="s">
        <v>351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9"/>
  <dimension ref="A1:T100"/>
  <sheetViews>
    <sheetView zoomScale="70" zoomScaleNormal="70" workbookViewId="0">
      <selection activeCell="D3" sqref="D3"/>
    </sheetView>
  </sheetViews>
  <sheetFormatPr defaultRowHeight="12.75" x14ac:dyDescent="0.2"/>
  <cols>
    <col min="6" max="6" width="13.7109375" bestFit="1" customWidth="1"/>
  </cols>
  <sheetData>
    <row r="1" spans="1:20" x14ac:dyDescent="0.2">
      <c r="C1" s="7" t="s">
        <v>48</v>
      </c>
    </row>
    <row r="2" spans="1:20" ht="19.5" thickBot="1" x14ac:dyDescent="0.35">
      <c r="C2" s="7" t="s">
        <v>115</v>
      </c>
      <c r="D2" t="s">
        <v>0</v>
      </c>
      <c r="E2" s="28" t="s">
        <v>108</v>
      </c>
      <c r="F2" s="2" t="s">
        <v>138</v>
      </c>
      <c r="T2" s="18" t="s">
        <v>80</v>
      </c>
    </row>
    <row r="3" spans="1:20" ht="13.5" thickBot="1" x14ac:dyDescent="0.25">
      <c r="C3" s="121">
        <v>3</v>
      </c>
      <c r="D3" s="121">
        <v>0.03</v>
      </c>
      <c r="E3">
        <f>(1-2*D3^2)^0.5</f>
        <v>0.99909959463508946</v>
      </c>
      <c r="F3">
        <f>1/(2*D3*(1-D3^2)^0.5)</f>
        <v>16.674171732966535</v>
      </c>
    </row>
    <row r="10" spans="1:20" x14ac:dyDescent="0.2">
      <c r="A10" t="s">
        <v>3</v>
      </c>
      <c r="B10" t="s">
        <v>4</v>
      </c>
      <c r="C10" t="s">
        <v>21</v>
      </c>
      <c r="D10" t="s">
        <v>3</v>
      </c>
      <c r="E10" t="s">
        <v>30</v>
      </c>
    </row>
    <row r="11" spans="1:20" x14ac:dyDescent="0.2">
      <c r="A11">
        <v>0</v>
      </c>
      <c r="B11">
        <f>SIN($C$3*A11)</f>
        <v>0</v>
      </c>
      <c r="C11">
        <f>A11*SIN($C$3*A11)</f>
        <v>0</v>
      </c>
      <c r="D11">
        <f>A11</f>
        <v>0</v>
      </c>
      <c r="E11">
        <f>-A11</f>
        <v>0</v>
      </c>
    </row>
    <row r="12" spans="1:20" x14ac:dyDescent="0.2">
      <c r="A12">
        <v>0.1</v>
      </c>
      <c r="B12">
        <f t="shared" ref="B12:B75" si="0">SIN($C$3*A12)</f>
        <v>0.2955202066613396</v>
      </c>
      <c r="C12">
        <f t="shared" ref="C12:C75" si="1">A12*SIN($C$3*A12)</f>
        <v>2.9552020666133962E-2</v>
      </c>
      <c r="D12">
        <f t="shared" ref="D12:D75" si="2">A12</f>
        <v>0.1</v>
      </c>
      <c r="E12">
        <f t="shared" ref="E12:E75" si="3">-A12</f>
        <v>-0.1</v>
      </c>
    </row>
    <row r="13" spans="1:20" x14ac:dyDescent="0.2">
      <c r="A13">
        <v>0.2</v>
      </c>
      <c r="B13">
        <f t="shared" si="0"/>
        <v>0.56464247339503548</v>
      </c>
      <c r="C13">
        <f t="shared" si="1"/>
        <v>0.1129284946790071</v>
      </c>
      <c r="D13">
        <f t="shared" si="2"/>
        <v>0.2</v>
      </c>
      <c r="E13">
        <f t="shared" si="3"/>
        <v>-0.2</v>
      </c>
    </row>
    <row r="14" spans="1:20" x14ac:dyDescent="0.2">
      <c r="A14">
        <v>0.3</v>
      </c>
      <c r="B14">
        <f t="shared" si="0"/>
        <v>0.7833269096274833</v>
      </c>
      <c r="C14">
        <f t="shared" si="1"/>
        <v>0.23499807288824498</v>
      </c>
      <c r="D14">
        <f t="shared" si="2"/>
        <v>0.3</v>
      </c>
      <c r="E14">
        <f t="shared" si="3"/>
        <v>-0.3</v>
      </c>
    </row>
    <row r="15" spans="1:20" x14ac:dyDescent="0.2">
      <c r="A15">
        <v>0.4</v>
      </c>
      <c r="B15">
        <f t="shared" si="0"/>
        <v>0.9320390859672264</v>
      </c>
      <c r="C15">
        <f t="shared" si="1"/>
        <v>0.37281563438689058</v>
      </c>
      <c r="D15">
        <f t="shared" si="2"/>
        <v>0.4</v>
      </c>
      <c r="E15">
        <f t="shared" si="3"/>
        <v>-0.4</v>
      </c>
    </row>
    <row r="16" spans="1:20" x14ac:dyDescent="0.2">
      <c r="A16">
        <v>0.5</v>
      </c>
      <c r="B16">
        <f t="shared" si="0"/>
        <v>0.99749498660405445</v>
      </c>
      <c r="C16">
        <f t="shared" si="1"/>
        <v>0.49874749330202722</v>
      </c>
      <c r="D16">
        <f t="shared" si="2"/>
        <v>0.5</v>
      </c>
      <c r="E16">
        <f t="shared" si="3"/>
        <v>-0.5</v>
      </c>
    </row>
    <row r="17" spans="1:5" x14ac:dyDescent="0.2">
      <c r="A17">
        <v>0.6</v>
      </c>
      <c r="B17">
        <f t="shared" si="0"/>
        <v>0.97384763087819526</v>
      </c>
      <c r="C17">
        <f t="shared" si="1"/>
        <v>0.58430857852691709</v>
      </c>
      <c r="D17">
        <f t="shared" si="2"/>
        <v>0.6</v>
      </c>
      <c r="E17">
        <f t="shared" si="3"/>
        <v>-0.6</v>
      </c>
    </row>
    <row r="18" spans="1:5" x14ac:dyDescent="0.2">
      <c r="A18">
        <v>0.7</v>
      </c>
      <c r="B18">
        <f t="shared" si="0"/>
        <v>0.86320936664887393</v>
      </c>
      <c r="C18">
        <f t="shared" si="1"/>
        <v>0.60424655665421168</v>
      </c>
      <c r="D18">
        <f t="shared" si="2"/>
        <v>0.7</v>
      </c>
      <c r="E18">
        <f t="shared" si="3"/>
        <v>-0.7</v>
      </c>
    </row>
    <row r="19" spans="1:5" x14ac:dyDescent="0.2">
      <c r="A19">
        <v>0.8</v>
      </c>
      <c r="B19">
        <f t="shared" si="0"/>
        <v>0.67546318055115062</v>
      </c>
      <c r="C19">
        <f t="shared" si="1"/>
        <v>0.54037054444092048</v>
      </c>
      <c r="D19">
        <f t="shared" si="2"/>
        <v>0.8</v>
      </c>
      <c r="E19">
        <f t="shared" si="3"/>
        <v>-0.8</v>
      </c>
    </row>
    <row r="20" spans="1:5" x14ac:dyDescent="0.2">
      <c r="A20">
        <v>0.9</v>
      </c>
      <c r="B20">
        <f t="shared" si="0"/>
        <v>0.42737988023382978</v>
      </c>
      <c r="C20">
        <f t="shared" si="1"/>
        <v>0.38464189221044681</v>
      </c>
      <c r="D20">
        <f t="shared" si="2"/>
        <v>0.9</v>
      </c>
      <c r="E20">
        <f t="shared" si="3"/>
        <v>-0.9</v>
      </c>
    </row>
    <row r="21" spans="1:5" x14ac:dyDescent="0.2">
      <c r="A21">
        <v>1</v>
      </c>
      <c r="B21">
        <f t="shared" si="0"/>
        <v>0.14112000805986721</v>
      </c>
      <c r="C21">
        <f t="shared" si="1"/>
        <v>0.14112000805986721</v>
      </c>
      <c r="D21">
        <f t="shared" si="2"/>
        <v>1</v>
      </c>
      <c r="E21">
        <f t="shared" si="3"/>
        <v>-1</v>
      </c>
    </row>
    <row r="22" spans="1:5" x14ac:dyDescent="0.2">
      <c r="A22">
        <v>1.1000000000000001</v>
      </c>
      <c r="B22">
        <f t="shared" si="0"/>
        <v>-0.15774569414324865</v>
      </c>
      <c r="C22">
        <f t="shared" si="1"/>
        <v>-0.17352026355757352</v>
      </c>
      <c r="D22">
        <f t="shared" si="2"/>
        <v>1.1000000000000001</v>
      </c>
      <c r="E22">
        <f t="shared" si="3"/>
        <v>-1.1000000000000001</v>
      </c>
    </row>
    <row r="23" spans="1:5" x14ac:dyDescent="0.2">
      <c r="A23">
        <v>1.2</v>
      </c>
      <c r="B23">
        <f t="shared" si="0"/>
        <v>-0.44252044329485207</v>
      </c>
      <c r="C23">
        <f t="shared" si="1"/>
        <v>-0.53102453195382249</v>
      </c>
      <c r="D23">
        <f t="shared" si="2"/>
        <v>1.2</v>
      </c>
      <c r="E23">
        <f t="shared" si="3"/>
        <v>-1.2</v>
      </c>
    </row>
    <row r="24" spans="1:5" x14ac:dyDescent="0.2">
      <c r="A24">
        <v>1.3</v>
      </c>
      <c r="B24">
        <f t="shared" si="0"/>
        <v>-0.6877661591839741</v>
      </c>
      <c r="C24">
        <f t="shared" si="1"/>
        <v>-0.89409600693916635</v>
      </c>
      <c r="D24">
        <f t="shared" si="2"/>
        <v>1.3</v>
      </c>
      <c r="E24">
        <f t="shared" si="3"/>
        <v>-1.3</v>
      </c>
    </row>
    <row r="25" spans="1:5" x14ac:dyDescent="0.2">
      <c r="A25">
        <v>1.4</v>
      </c>
      <c r="B25">
        <f t="shared" si="0"/>
        <v>-0.87157577241358775</v>
      </c>
      <c r="C25">
        <f t="shared" si="1"/>
        <v>-1.2202060813790228</v>
      </c>
      <c r="D25">
        <f t="shared" si="2"/>
        <v>1.4</v>
      </c>
      <c r="E25">
        <f t="shared" si="3"/>
        <v>-1.4</v>
      </c>
    </row>
    <row r="26" spans="1:5" x14ac:dyDescent="0.2">
      <c r="A26">
        <v>1.5</v>
      </c>
      <c r="B26">
        <f t="shared" si="0"/>
        <v>-0.97753011766509701</v>
      </c>
      <c r="C26">
        <f t="shared" si="1"/>
        <v>-1.4662951764976455</v>
      </c>
      <c r="D26">
        <f t="shared" si="2"/>
        <v>1.5</v>
      </c>
      <c r="E26">
        <f t="shared" si="3"/>
        <v>-1.5</v>
      </c>
    </row>
    <row r="27" spans="1:5" x14ac:dyDescent="0.2">
      <c r="A27">
        <v>1.6</v>
      </c>
      <c r="B27">
        <f t="shared" si="0"/>
        <v>-0.99616460883584057</v>
      </c>
      <c r="C27">
        <f t="shared" si="1"/>
        <v>-1.5938633741373449</v>
      </c>
      <c r="D27">
        <f t="shared" si="2"/>
        <v>1.6</v>
      </c>
      <c r="E27">
        <f t="shared" si="3"/>
        <v>-1.6</v>
      </c>
    </row>
    <row r="28" spans="1:5" x14ac:dyDescent="0.2">
      <c r="A28">
        <v>1.7</v>
      </c>
      <c r="B28">
        <f t="shared" si="0"/>
        <v>-0.92581468232773245</v>
      </c>
      <c r="C28">
        <f t="shared" si="1"/>
        <v>-1.5738849599571452</v>
      </c>
      <c r="D28">
        <f t="shared" si="2"/>
        <v>1.7</v>
      </c>
      <c r="E28">
        <f t="shared" si="3"/>
        <v>-1.7</v>
      </c>
    </row>
    <row r="29" spans="1:5" x14ac:dyDescent="0.2">
      <c r="A29">
        <v>1.8</v>
      </c>
      <c r="B29">
        <f t="shared" si="0"/>
        <v>-0.77276448755598715</v>
      </c>
      <c r="C29">
        <f t="shared" si="1"/>
        <v>-1.3909760776007769</v>
      </c>
      <c r="D29">
        <f t="shared" si="2"/>
        <v>1.8</v>
      </c>
      <c r="E29">
        <f t="shared" si="3"/>
        <v>-1.8</v>
      </c>
    </row>
    <row r="30" spans="1:5" x14ac:dyDescent="0.2">
      <c r="A30">
        <v>1.9</v>
      </c>
      <c r="B30">
        <f t="shared" si="0"/>
        <v>-0.55068554259763836</v>
      </c>
      <c r="C30">
        <f t="shared" si="1"/>
        <v>-1.0463025309355127</v>
      </c>
      <c r="D30">
        <f t="shared" si="2"/>
        <v>1.9</v>
      </c>
      <c r="E30">
        <f t="shared" si="3"/>
        <v>-1.9</v>
      </c>
    </row>
    <row r="31" spans="1:5" x14ac:dyDescent="0.2">
      <c r="A31">
        <v>2</v>
      </c>
      <c r="B31">
        <f t="shared" si="0"/>
        <v>-0.27941549819892586</v>
      </c>
      <c r="C31">
        <f t="shared" si="1"/>
        <v>-0.55883099639785172</v>
      </c>
      <c r="D31">
        <f t="shared" si="2"/>
        <v>2</v>
      </c>
      <c r="E31">
        <f t="shared" si="3"/>
        <v>-2</v>
      </c>
    </row>
    <row r="32" spans="1:5" x14ac:dyDescent="0.2">
      <c r="A32">
        <v>2.1</v>
      </c>
      <c r="B32">
        <f t="shared" si="0"/>
        <v>1.6813900484350601E-2</v>
      </c>
      <c r="C32">
        <f t="shared" si="1"/>
        <v>3.5309191017136261E-2</v>
      </c>
      <c r="D32">
        <f t="shared" si="2"/>
        <v>2.1</v>
      </c>
      <c r="E32">
        <f t="shared" si="3"/>
        <v>-2.1</v>
      </c>
    </row>
    <row r="33" spans="1:5" x14ac:dyDescent="0.2">
      <c r="A33">
        <v>2.2000000000000002</v>
      </c>
      <c r="B33">
        <f t="shared" si="0"/>
        <v>0.31154136351337869</v>
      </c>
      <c r="C33">
        <f t="shared" si="1"/>
        <v>0.68539099972943318</v>
      </c>
      <c r="D33">
        <f t="shared" si="2"/>
        <v>2.2000000000000002</v>
      </c>
      <c r="E33">
        <f t="shared" si="3"/>
        <v>-2.2000000000000002</v>
      </c>
    </row>
    <row r="34" spans="1:5" x14ac:dyDescent="0.2">
      <c r="A34">
        <v>2.2999999999999998</v>
      </c>
      <c r="B34">
        <f t="shared" si="0"/>
        <v>0.57843976438819944</v>
      </c>
      <c r="C34">
        <f t="shared" si="1"/>
        <v>1.3304114580928585</v>
      </c>
      <c r="D34">
        <f t="shared" si="2"/>
        <v>2.2999999999999998</v>
      </c>
      <c r="E34">
        <f t="shared" si="3"/>
        <v>-2.2999999999999998</v>
      </c>
    </row>
    <row r="35" spans="1:5" x14ac:dyDescent="0.2">
      <c r="A35">
        <v>2.4</v>
      </c>
      <c r="B35">
        <f t="shared" si="0"/>
        <v>0.79366786384915267</v>
      </c>
      <c r="C35">
        <f t="shared" si="1"/>
        <v>1.9048028732379663</v>
      </c>
      <c r="D35">
        <f t="shared" si="2"/>
        <v>2.4</v>
      </c>
      <c r="E35">
        <f t="shared" si="3"/>
        <v>-2.4</v>
      </c>
    </row>
    <row r="36" spans="1:5" x14ac:dyDescent="0.2">
      <c r="A36">
        <v>2.5</v>
      </c>
      <c r="B36">
        <f t="shared" si="0"/>
        <v>0.9379999767747389</v>
      </c>
      <c r="C36">
        <f t="shared" si="1"/>
        <v>2.3449999419368472</v>
      </c>
      <c r="D36">
        <f t="shared" si="2"/>
        <v>2.5</v>
      </c>
      <c r="E36">
        <f t="shared" si="3"/>
        <v>-2.5</v>
      </c>
    </row>
    <row r="37" spans="1:5" x14ac:dyDescent="0.2">
      <c r="A37">
        <v>2.6</v>
      </c>
      <c r="B37">
        <f t="shared" si="0"/>
        <v>0.99854334537460498</v>
      </c>
      <c r="C37">
        <f t="shared" si="1"/>
        <v>2.5962126979739732</v>
      </c>
      <c r="D37">
        <f t="shared" si="2"/>
        <v>2.6</v>
      </c>
      <c r="E37">
        <f t="shared" si="3"/>
        <v>-2.6</v>
      </c>
    </row>
    <row r="38" spans="1:5" x14ac:dyDescent="0.2">
      <c r="A38">
        <v>2.7</v>
      </c>
      <c r="B38">
        <f t="shared" si="0"/>
        <v>0.96988981084508585</v>
      </c>
      <c r="C38">
        <f t="shared" si="1"/>
        <v>2.6187024892817319</v>
      </c>
      <c r="D38">
        <f t="shared" si="2"/>
        <v>2.7</v>
      </c>
      <c r="E38">
        <f t="shared" si="3"/>
        <v>-2.7</v>
      </c>
    </row>
    <row r="39" spans="1:5" x14ac:dyDescent="0.2">
      <c r="A39">
        <v>2.8</v>
      </c>
      <c r="B39">
        <f t="shared" si="0"/>
        <v>0.85459890808828143</v>
      </c>
      <c r="C39">
        <f t="shared" si="1"/>
        <v>2.3928769426471876</v>
      </c>
      <c r="D39">
        <f t="shared" si="2"/>
        <v>2.8</v>
      </c>
      <c r="E39">
        <f t="shared" si="3"/>
        <v>-2.8</v>
      </c>
    </row>
    <row r="40" spans="1:5" x14ac:dyDescent="0.2">
      <c r="A40">
        <v>2.9</v>
      </c>
      <c r="B40">
        <f t="shared" si="0"/>
        <v>0.66296923008218334</v>
      </c>
      <c r="C40">
        <f t="shared" si="1"/>
        <v>1.9226107672383317</v>
      </c>
      <c r="D40">
        <f t="shared" si="2"/>
        <v>2.9</v>
      </c>
      <c r="E40">
        <f t="shared" si="3"/>
        <v>-2.9</v>
      </c>
    </row>
    <row r="41" spans="1:5" x14ac:dyDescent="0.2">
      <c r="A41">
        <v>3</v>
      </c>
      <c r="B41">
        <f t="shared" si="0"/>
        <v>0.41211848524175659</v>
      </c>
      <c r="C41">
        <f t="shared" si="1"/>
        <v>1.2363554557252698</v>
      </c>
      <c r="D41">
        <f t="shared" si="2"/>
        <v>3</v>
      </c>
      <c r="E41">
        <f t="shared" si="3"/>
        <v>-3</v>
      </c>
    </row>
    <row r="42" spans="1:5" x14ac:dyDescent="0.2">
      <c r="A42">
        <v>3.1</v>
      </c>
      <c r="B42">
        <f t="shared" si="0"/>
        <v>0.12445442350706171</v>
      </c>
      <c r="C42">
        <f t="shared" si="1"/>
        <v>0.38580871287189128</v>
      </c>
      <c r="D42">
        <f t="shared" si="2"/>
        <v>3.1</v>
      </c>
      <c r="E42">
        <f t="shared" si="3"/>
        <v>-3.1</v>
      </c>
    </row>
    <row r="43" spans="1:5" x14ac:dyDescent="0.2">
      <c r="A43">
        <v>3.2</v>
      </c>
      <c r="B43">
        <f t="shared" si="0"/>
        <v>-0.1743267812229814</v>
      </c>
      <c r="C43">
        <f t="shared" si="1"/>
        <v>-0.55784569991354049</v>
      </c>
      <c r="D43">
        <f t="shared" si="2"/>
        <v>3.2</v>
      </c>
      <c r="E43">
        <f t="shared" si="3"/>
        <v>-3.2</v>
      </c>
    </row>
    <row r="44" spans="1:5" x14ac:dyDescent="0.2">
      <c r="A44">
        <v>3.3</v>
      </c>
      <c r="B44">
        <f t="shared" si="0"/>
        <v>-0.45753589377531978</v>
      </c>
      <c r="C44">
        <f t="shared" si="1"/>
        <v>-1.5098684494585553</v>
      </c>
      <c r="D44">
        <f t="shared" si="2"/>
        <v>3.3</v>
      </c>
      <c r="E44">
        <f t="shared" si="3"/>
        <v>-3.3</v>
      </c>
    </row>
    <row r="45" spans="1:5" x14ac:dyDescent="0.2">
      <c r="A45">
        <v>3.4</v>
      </c>
      <c r="B45">
        <f t="shared" si="0"/>
        <v>-0.69987468759354232</v>
      </c>
      <c r="C45">
        <f t="shared" si="1"/>
        <v>-2.3795739378180438</v>
      </c>
      <c r="D45">
        <f t="shared" si="2"/>
        <v>3.4</v>
      </c>
      <c r="E45">
        <f t="shared" si="3"/>
        <v>-3.4</v>
      </c>
    </row>
    <row r="46" spans="1:5" x14ac:dyDescent="0.2">
      <c r="A46">
        <v>3.5</v>
      </c>
      <c r="B46">
        <f t="shared" si="0"/>
        <v>-0.87969575997167004</v>
      </c>
      <c r="C46">
        <f t="shared" si="1"/>
        <v>-3.078935159900845</v>
      </c>
      <c r="D46">
        <f t="shared" si="2"/>
        <v>3.5</v>
      </c>
      <c r="E46">
        <f t="shared" si="3"/>
        <v>-3.5</v>
      </c>
    </row>
    <row r="47" spans="1:5" x14ac:dyDescent="0.2">
      <c r="A47">
        <v>3.6</v>
      </c>
      <c r="B47">
        <f t="shared" si="0"/>
        <v>-0.98093623006649155</v>
      </c>
      <c r="C47">
        <f t="shared" si="1"/>
        <v>-3.5313704282393696</v>
      </c>
      <c r="D47">
        <f t="shared" si="2"/>
        <v>3.6</v>
      </c>
      <c r="E47">
        <f t="shared" si="3"/>
        <v>-3.6</v>
      </c>
    </row>
    <row r="48" spans="1:5" x14ac:dyDescent="0.2">
      <c r="A48">
        <v>3.7</v>
      </c>
      <c r="B48">
        <f t="shared" si="0"/>
        <v>-0.99455258820398906</v>
      </c>
      <c r="C48">
        <f t="shared" si="1"/>
        <v>-3.6798445763547596</v>
      </c>
      <c r="D48">
        <f t="shared" si="2"/>
        <v>3.7</v>
      </c>
      <c r="E48">
        <f t="shared" si="3"/>
        <v>-3.7</v>
      </c>
    </row>
    <row r="49" spans="1:5" x14ac:dyDescent="0.2">
      <c r="A49">
        <v>3.8</v>
      </c>
      <c r="B49">
        <f t="shared" si="0"/>
        <v>-0.91932852566467638</v>
      </c>
      <c r="C49">
        <f t="shared" si="1"/>
        <v>-3.49344839752577</v>
      </c>
      <c r="D49">
        <f t="shared" si="2"/>
        <v>3.8</v>
      </c>
      <c r="E49">
        <f t="shared" si="3"/>
        <v>-3.8</v>
      </c>
    </row>
    <row r="50" spans="1:5" x14ac:dyDescent="0.2">
      <c r="A50">
        <v>3.9</v>
      </c>
      <c r="B50">
        <f t="shared" si="0"/>
        <v>-0.76198358391903331</v>
      </c>
      <c r="C50">
        <f t="shared" si="1"/>
        <v>-2.9717359772842298</v>
      </c>
      <c r="D50">
        <f t="shared" si="2"/>
        <v>3.9</v>
      </c>
      <c r="E50">
        <f t="shared" si="3"/>
        <v>-3.9</v>
      </c>
    </row>
    <row r="51" spans="1:5" x14ac:dyDescent="0.2">
      <c r="A51">
        <v>4</v>
      </c>
      <c r="B51">
        <f t="shared" si="0"/>
        <v>-0.53657291800043494</v>
      </c>
      <c r="C51">
        <f t="shared" si="1"/>
        <v>-2.1462916720017398</v>
      </c>
      <c r="D51">
        <f t="shared" si="2"/>
        <v>4</v>
      </c>
      <c r="E51">
        <f t="shared" si="3"/>
        <v>-4</v>
      </c>
    </row>
    <row r="52" spans="1:5" x14ac:dyDescent="0.2">
      <c r="A52">
        <v>4.0999999999999996</v>
      </c>
      <c r="B52">
        <f t="shared" si="0"/>
        <v>-0.26323179136580266</v>
      </c>
      <c r="C52">
        <f t="shared" si="1"/>
        <v>-1.0792503445997907</v>
      </c>
      <c r="D52">
        <f t="shared" si="2"/>
        <v>4.0999999999999996</v>
      </c>
      <c r="E52">
        <f t="shared" si="3"/>
        <v>-4.0999999999999996</v>
      </c>
    </row>
    <row r="53" spans="1:5" x14ac:dyDescent="0.2">
      <c r="A53">
        <v>4.2</v>
      </c>
      <c r="B53">
        <f t="shared" si="0"/>
        <v>3.3623047221138472E-2</v>
      </c>
      <c r="C53">
        <f t="shared" si="1"/>
        <v>0.14121679832878159</v>
      </c>
      <c r="D53">
        <f t="shared" si="2"/>
        <v>4.2</v>
      </c>
      <c r="E53">
        <f t="shared" si="3"/>
        <v>-4.2</v>
      </c>
    </row>
    <row r="54" spans="1:5" x14ac:dyDescent="0.2">
      <c r="A54">
        <v>4.3</v>
      </c>
      <c r="B54">
        <f t="shared" si="0"/>
        <v>0.32747443913769136</v>
      </c>
      <c r="C54">
        <f t="shared" si="1"/>
        <v>1.4081400882920727</v>
      </c>
      <c r="D54">
        <f t="shared" si="2"/>
        <v>4.3</v>
      </c>
      <c r="E54">
        <f t="shared" si="3"/>
        <v>-4.3</v>
      </c>
    </row>
    <row r="55" spans="1:5" x14ac:dyDescent="0.2">
      <c r="A55">
        <v>4.4000000000000004</v>
      </c>
      <c r="B55">
        <f t="shared" si="0"/>
        <v>0.59207351470722447</v>
      </c>
      <c r="C55">
        <f t="shared" si="1"/>
        <v>2.605123464711788</v>
      </c>
      <c r="D55">
        <f t="shared" si="2"/>
        <v>4.4000000000000004</v>
      </c>
      <c r="E55">
        <f t="shared" si="3"/>
        <v>-4.4000000000000004</v>
      </c>
    </row>
    <row r="56" spans="1:5" x14ac:dyDescent="0.2">
      <c r="A56">
        <v>4.5</v>
      </c>
      <c r="B56">
        <f t="shared" si="0"/>
        <v>0.80378442655162097</v>
      </c>
      <c r="C56">
        <f t="shared" si="1"/>
        <v>3.6170299194822944</v>
      </c>
      <c r="D56">
        <f t="shared" si="2"/>
        <v>4.5</v>
      </c>
      <c r="E56">
        <f t="shared" si="3"/>
        <v>-4.5</v>
      </c>
    </row>
    <row r="57" spans="1:5" x14ac:dyDescent="0.2">
      <c r="A57">
        <v>4.5999999999999996</v>
      </c>
      <c r="B57">
        <f t="shared" si="0"/>
        <v>0.94369566944410421</v>
      </c>
      <c r="C57">
        <f t="shared" si="1"/>
        <v>4.3410000794428791</v>
      </c>
      <c r="D57">
        <f t="shared" si="2"/>
        <v>4.5999999999999996</v>
      </c>
      <c r="E57">
        <f t="shared" si="3"/>
        <v>-4.5999999999999996</v>
      </c>
    </row>
    <row r="58" spans="1:5" x14ac:dyDescent="0.2">
      <c r="A58">
        <v>4.7</v>
      </c>
      <c r="B58">
        <f t="shared" si="0"/>
        <v>0.99930938874791775</v>
      </c>
      <c r="C58">
        <f t="shared" si="1"/>
        <v>4.6967541271152138</v>
      </c>
      <c r="D58">
        <f t="shared" si="2"/>
        <v>4.7</v>
      </c>
      <c r="E58">
        <f t="shared" si="3"/>
        <v>-4.7</v>
      </c>
    </row>
    <row r="59" spans="1:5" x14ac:dyDescent="0.2">
      <c r="A59">
        <v>4.8</v>
      </c>
      <c r="B59">
        <f t="shared" si="0"/>
        <v>0.96565777654927798</v>
      </c>
      <c r="C59">
        <f t="shared" si="1"/>
        <v>4.6351573274365343</v>
      </c>
      <c r="D59">
        <f t="shared" si="2"/>
        <v>4.8</v>
      </c>
      <c r="E59">
        <f t="shared" si="3"/>
        <v>-4.8</v>
      </c>
    </row>
    <row r="60" spans="1:5" x14ac:dyDescent="0.2">
      <c r="A60">
        <v>4.9000000000000004</v>
      </c>
      <c r="B60">
        <f t="shared" si="0"/>
        <v>0.84574683114293336</v>
      </c>
      <c r="C60">
        <f t="shared" si="1"/>
        <v>4.1441594726003741</v>
      </c>
      <c r="D60">
        <f t="shared" si="2"/>
        <v>4.9000000000000004</v>
      </c>
      <c r="E60">
        <f t="shared" si="3"/>
        <v>-4.9000000000000004</v>
      </c>
    </row>
    <row r="61" spans="1:5" x14ac:dyDescent="0.2">
      <c r="A61">
        <v>5</v>
      </c>
      <c r="B61">
        <f t="shared" si="0"/>
        <v>0.65028784015711683</v>
      </c>
      <c r="C61">
        <f t="shared" si="1"/>
        <v>3.2514392007855841</v>
      </c>
      <c r="D61">
        <f t="shared" si="2"/>
        <v>5</v>
      </c>
      <c r="E61">
        <f t="shared" si="3"/>
        <v>-5</v>
      </c>
    </row>
    <row r="62" spans="1:5" x14ac:dyDescent="0.2">
      <c r="A62">
        <v>5.0999999999999996</v>
      </c>
      <c r="B62">
        <f t="shared" si="0"/>
        <v>0.39674057313061367</v>
      </c>
      <c r="C62">
        <f t="shared" si="1"/>
        <v>2.0233769229661296</v>
      </c>
      <c r="D62">
        <f t="shared" si="2"/>
        <v>5.0999999999999996</v>
      </c>
      <c r="E62">
        <f t="shared" si="3"/>
        <v>-5.0999999999999996</v>
      </c>
    </row>
    <row r="63" spans="1:5" x14ac:dyDescent="0.2">
      <c r="A63">
        <v>5.2</v>
      </c>
      <c r="B63">
        <f t="shared" si="0"/>
        <v>0.1077536522994423</v>
      </c>
      <c r="C63">
        <f t="shared" si="1"/>
        <v>0.5603189919571</v>
      </c>
      <c r="D63">
        <f t="shared" si="2"/>
        <v>5.2</v>
      </c>
      <c r="E63">
        <f t="shared" si="3"/>
        <v>-5.2</v>
      </c>
    </row>
    <row r="64" spans="1:5" x14ac:dyDescent="0.2">
      <c r="A64">
        <v>5.3</v>
      </c>
      <c r="B64">
        <f t="shared" si="0"/>
        <v>-0.19085858137418762</v>
      </c>
      <c r="C64">
        <f t="shared" si="1"/>
        <v>-1.0115504812831944</v>
      </c>
      <c r="D64">
        <f t="shared" si="2"/>
        <v>5.3</v>
      </c>
      <c r="E64">
        <f t="shared" si="3"/>
        <v>-5.3</v>
      </c>
    </row>
    <row r="65" spans="1:5" x14ac:dyDescent="0.2">
      <c r="A65">
        <v>5.4</v>
      </c>
      <c r="B65">
        <f t="shared" si="0"/>
        <v>-0.47242198639846927</v>
      </c>
      <c r="C65">
        <f t="shared" si="1"/>
        <v>-2.5510787265517343</v>
      </c>
      <c r="D65">
        <f t="shared" si="2"/>
        <v>5.4</v>
      </c>
      <c r="E65">
        <f t="shared" si="3"/>
        <v>-5.4</v>
      </c>
    </row>
    <row r="66" spans="1:5" x14ac:dyDescent="0.2">
      <c r="A66">
        <v>5.5</v>
      </c>
      <c r="B66">
        <f t="shared" si="0"/>
        <v>-0.71178534236912305</v>
      </c>
      <c r="C66">
        <f t="shared" si="1"/>
        <v>-3.914819383030177</v>
      </c>
      <c r="D66">
        <f t="shared" si="2"/>
        <v>5.5</v>
      </c>
      <c r="E66">
        <f t="shared" si="3"/>
        <v>-5.5</v>
      </c>
    </row>
    <row r="67" spans="1:5" x14ac:dyDescent="0.2">
      <c r="A67">
        <v>5.6</v>
      </c>
      <c r="B67">
        <f t="shared" si="0"/>
        <v>-0.88756703358150291</v>
      </c>
      <c r="C67">
        <f t="shared" si="1"/>
        <v>-4.9703753880564161</v>
      </c>
      <c r="D67">
        <f t="shared" si="2"/>
        <v>5.6</v>
      </c>
      <c r="E67">
        <f t="shared" si="3"/>
        <v>-5.6</v>
      </c>
    </row>
    <row r="68" spans="1:5" x14ac:dyDescent="0.2">
      <c r="A68">
        <v>5.7</v>
      </c>
      <c r="B68">
        <f t="shared" si="0"/>
        <v>-0.98406500508164341</v>
      </c>
      <c r="C68">
        <f t="shared" si="1"/>
        <v>-5.6091705289653673</v>
      </c>
      <c r="D68">
        <f t="shared" si="2"/>
        <v>5.7</v>
      </c>
      <c r="E68">
        <f t="shared" si="3"/>
        <v>-5.7</v>
      </c>
    </row>
    <row r="69" spans="1:5" x14ac:dyDescent="0.2">
      <c r="A69">
        <v>5.8</v>
      </c>
      <c r="B69">
        <f t="shared" si="0"/>
        <v>-0.99265938047063318</v>
      </c>
      <c r="C69">
        <f t="shared" si="1"/>
        <v>-5.7574244067296725</v>
      </c>
      <c r="D69">
        <f t="shared" si="2"/>
        <v>5.8</v>
      </c>
      <c r="E69">
        <f t="shared" si="3"/>
        <v>-5.8</v>
      </c>
    </row>
    <row r="70" spans="1:5" x14ac:dyDescent="0.2">
      <c r="A70">
        <v>5.9</v>
      </c>
      <c r="B70">
        <f t="shared" si="0"/>
        <v>-0.91258244979118297</v>
      </c>
      <c r="C70">
        <f t="shared" si="1"/>
        <v>-5.3842364537679801</v>
      </c>
      <c r="D70">
        <f t="shared" si="2"/>
        <v>5.9</v>
      </c>
      <c r="E70">
        <f t="shared" si="3"/>
        <v>-5.9</v>
      </c>
    </row>
    <row r="71" spans="1:5" x14ac:dyDescent="0.2">
      <c r="A71">
        <v>6</v>
      </c>
      <c r="B71">
        <f t="shared" si="0"/>
        <v>-0.75098724677167605</v>
      </c>
      <c r="C71">
        <f t="shared" si="1"/>
        <v>-4.5059234806300559</v>
      </c>
      <c r="D71">
        <f t="shared" si="2"/>
        <v>6</v>
      </c>
      <c r="E71">
        <f t="shared" si="3"/>
        <v>-6</v>
      </c>
    </row>
    <row r="72" spans="1:5" x14ac:dyDescent="0.2">
      <c r="A72">
        <v>6.1</v>
      </c>
      <c r="B72">
        <f t="shared" si="0"/>
        <v>-0.52230858962673454</v>
      </c>
      <c r="C72">
        <f t="shared" si="1"/>
        <v>-3.1860823967230805</v>
      </c>
      <c r="D72">
        <f t="shared" si="2"/>
        <v>6.1</v>
      </c>
      <c r="E72">
        <f t="shared" si="3"/>
        <v>-6.1</v>
      </c>
    </row>
    <row r="73" spans="1:5" x14ac:dyDescent="0.2">
      <c r="A73">
        <v>6.2</v>
      </c>
      <c r="B73">
        <f t="shared" si="0"/>
        <v>-0.24697366173662089</v>
      </c>
      <c r="C73">
        <f t="shared" si="1"/>
        <v>-1.5312367027670495</v>
      </c>
      <c r="D73">
        <f t="shared" si="2"/>
        <v>6.2</v>
      </c>
      <c r="E73">
        <f t="shared" si="3"/>
        <v>-6.2</v>
      </c>
    </row>
    <row r="74" spans="1:5" x14ac:dyDescent="0.2">
      <c r="A74">
        <v>6.3</v>
      </c>
      <c r="B74">
        <f t="shared" si="0"/>
        <v>5.0422687806811223E-2</v>
      </c>
      <c r="C74">
        <f t="shared" si="1"/>
        <v>0.31766293318291067</v>
      </c>
      <c r="D74">
        <f t="shared" si="2"/>
        <v>6.3</v>
      </c>
      <c r="E74">
        <f t="shared" si="3"/>
        <v>-6.3</v>
      </c>
    </row>
    <row r="75" spans="1:5" x14ac:dyDescent="0.2">
      <c r="A75">
        <v>6.4</v>
      </c>
      <c r="B75">
        <f t="shared" si="0"/>
        <v>0.34331492881989872</v>
      </c>
      <c r="C75">
        <f t="shared" si="1"/>
        <v>2.197215544447352</v>
      </c>
      <c r="D75">
        <f t="shared" si="2"/>
        <v>6.4</v>
      </c>
      <c r="E75">
        <f t="shared" si="3"/>
        <v>-6.4</v>
      </c>
    </row>
    <row r="76" spans="1:5" x14ac:dyDescent="0.2">
      <c r="A76">
        <v>6.5</v>
      </c>
      <c r="B76">
        <f t="shared" ref="B76:B100" si="4">SIN($C$3*A76)</f>
        <v>0.60553986971960105</v>
      </c>
      <c r="C76">
        <f t="shared" ref="C76:C100" si="5">A76*SIN($C$3*A76)</f>
        <v>3.9360091531774071</v>
      </c>
      <c r="D76">
        <f t="shared" ref="D76:D100" si="6">A76</f>
        <v>6.5</v>
      </c>
      <c r="E76">
        <f t="shared" ref="E76:E100" si="7">-A76</f>
        <v>-6.5</v>
      </c>
    </row>
    <row r="77" spans="1:5" x14ac:dyDescent="0.2">
      <c r="A77">
        <v>6.6</v>
      </c>
      <c r="B77">
        <f t="shared" si="4"/>
        <v>0.81367373750710326</v>
      </c>
      <c r="C77">
        <f t="shared" si="5"/>
        <v>5.3702466675468816</v>
      </c>
      <c r="D77">
        <f t="shared" si="6"/>
        <v>6.6</v>
      </c>
      <c r="E77">
        <f t="shared" si="7"/>
        <v>-6.6</v>
      </c>
    </row>
    <row r="78" spans="1:5" x14ac:dyDescent="0.2">
      <c r="A78">
        <v>6.7</v>
      </c>
      <c r="B78">
        <f t="shared" si="4"/>
        <v>0.94912455364789461</v>
      </c>
      <c r="C78">
        <f t="shared" si="5"/>
        <v>6.359134509440894</v>
      </c>
      <c r="D78">
        <f t="shared" si="6"/>
        <v>6.7</v>
      </c>
      <c r="E78">
        <f t="shared" si="7"/>
        <v>-6.7</v>
      </c>
    </row>
    <row r="79" spans="1:5" x14ac:dyDescent="0.2">
      <c r="A79">
        <v>6.8</v>
      </c>
      <c r="B79">
        <f t="shared" si="4"/>
        <v>0.99979290014266919</v>
      </c>
      <c r="C79">
        <f t="shared" si="5"/>
        <v>6.7985917209701503</v>
      </c>
      <c r="D79">
        <f t="shared" si="6"/>
        <v>6.8</v>
      </c>
      <c r="E79">
        <f t="shared" si="7"/>
        <v>-6.8</v>
      </c>
    </row>
    <row r="80" spans="1:5" x14ac:dyDescent="0.2">
      <c r="A80">
        <v>6.9</v>
      </c>
      <c r="B80">
        <f t="shared" si="4"/>
        <v>0.96115272450211553</v>
      </c>
      <c r="C80">
        <f t="shared" si="5"/>
        <v>6.6319537990645978</v>
      </c>
      <c r="D80">
        <f t="shared" si="6"/>
        <v>6.9</v>
      </c>
      <c r="E80">
        <f t="shared" si="7"/>
        <v>-6.9</v>
      </c>
    </row>
    <row r="81" spans="1:5" x14ac:dyDescent="0.2">
      <c r="A81">
        <v>7</v>
      </c>
      <c r="B81">
        <f t="shared" si="4"/>
        <v>0.83665563853605607</v>
      </c>
      <c r="C81">
        <f t="shared" si="5"/>
        <v>5.8565894697523921</v>
      </c>
      <c r="D81">
        <f t="shared" si="6"/>
        <v>7</v>
      </c>
      <c r="E81">
        <f t="shared" si="7"/>
        <v>-7</v>
      </c>
    </row>
    <row r="82" spans="1:5" x14ac:dyDescent="0.2">
      <c r="A82">
        <v>7.1</v>
      </c>
      <c r="B82">
        <f t="shared" si="4"/>
        <v>0.63742259615024155</v>
      </c>
      <c r="C82">
        <f t="shared" si="5"/>
        <v>4.5257004326667145</v>
      </c>
      <c r="D82">
        <f t="shared" si="6"/>
        <v>7.1</v>
      </c>
      <c r="E82">
        <f t="shared" si="7"/>
        <v>-7.1</v>
      </c>
    </row>
    <row r="83" spans="1:5" x14ac:dyDescent="0.2">
      <c r="A83">
        <v>7.2</v>
      </c>
      <c r="B83">
        <f t="shared" si="4"/>
        <v>0.38125049165494013</v>
      </c>
      <c r="C83">
        <f t="shared" si="5"/>
        <v>2.7450035399155688</v>
      </c>
      <c r="D83">
        <f t="shared" si="6"/>
        <v>7.2</v>
      </c>
      <c r="E83">
        <f t="shared" si="7"/>
        <v>-7.2</v>
      </c>
    </row>
    <row r="84" spans="1:5" x14ac:dyDescent="0.2">
      <c r="A84">
        <v>7.3</v>
      </c>
      <c r="B84">
        <f t="shared" si="4"/>
        <v>9.1022416199847869E-2</v>
      </c>
      <c r="C84">
        <f t="shared" si="5"/>
        <v>0.66446363825888943</v>
      </c>
      <c r="D84">
        <f t="shared" si="6"/>
        <v>7.3</v>
      </c>
      <c r="E84">
        <f t="shared" si="7"/>
        <v>-7.3</v>
      </c>
    </row>
    <row r="85" spans="1:5" x14ac:dyDescent="0.2">
      <c r="A85">
        <v>7.4</v>
      </c>
      <c r="B85">
        <f t="shared" si="4"/>
        <v>-0.20733642060676225</v>
      </c>
      <c r="C85">
        <f t="shared" si="5"/>
        <v>-1.5342895124900406</v>
      </c>
      <c r="D85">
        <f t="shared" si="6"/>
        <v>7.4</v>
      </c>
      <c r="E85">
        <f t="shared" si="7"/>
        <v>-7.4</v>
      </c>
    </row>
    <row r="86" spans="1:5" x14ac:dyDescent="0.2">
      <c r="A86">
        <v>7.5</v>
      </c>
      <c r="B86">
        <f t="shared" si="4"/>
        <v>-0.48717451246050952</v>
      </c>
      <c r="C86">
        <f t="shared" si="5"/>
        <v>-3.6538088434538216</v>
      </c>
      <c r="D86">
        <f t="shared" si="6"/>
        <v>7.5</v>
      </c>
      <c r="E86">
        <f t="shared" si="7"/>
        <v>-7.5</v>
      </c>
    </row>
    <row r="87" spans="1:5" x14ac:dyDescent="0.2">
      <c r="A87">
        <v>7.6</v>
      </c>
      <c r="B87">
        <f t="shared" si="4"/>
        <v>-0.72349475604424252</v>
      </c>
      <c r="C87">
        <f t="shared" si="5"/>
        <v>-5.498560145936243</v>
      </c>
      <c r="D87">
        <f t="shared" si="6"/>
        <v>7.6</v>
      </c>
      <c r="E87">
        <f t="shared" si="7"/>
        <v>-7.6</v>
      </c>
    </row>
    <row r="88" spans="1:5" x14ac:dyDescent="0.2">
      <c r="A88">
        <v>7.7</v>
      </c>
      <c r="B88">
        <f t="shared" si="4"/>
        <v>-0.89518736781968178</v>
      </c>
      <c r="C88">
        <f t="shared" si="5"/>
        <v>-6.8929427322115497</v>
      </c>
      <c r="D88">
        <f t="shared" si="6"/>
        <v>7.7</v>
      </c>
      <c r="E88">
        <f t="shared" si="7"/>
        <v>-7.7</v>
      </c>
    </row>
    <row r="89" spans="1:5" x14ac:dyDescent="0.2">
      <c r="A89">
        <v>7.8</v>
      </c>
      <c r="B89">
        <f t="shared" si="4"/>
        <v>-0.98691555812064868</v>
      </c>
      <c r="C89">
        <f t="shared" si="5"/>
        <v>-7.6979413533410597</v>
      </c>
      <c r="D89">
        <f t="shared" si="6"/>
        <v>7.8</v>
      </c>
      <c r="E89">
        <f t="shared" si="7"/>
        <v>-7.8</v>
      </c>
    </row>
    <row r="90" spans="1:5" x14ac:dyDescent="0.2">
      <c r="A90">
        <v>7.9</v>
      </c>
      <c r="B90">
        <f t="shared" si="4"/>
        <v>-0.99048552089715591</v>
      </c>
      <c r="C90">
        <f t="shared" si="5"/>
        <v>-7.8248356150875322</v>
      </c>
      <c r="D90">
        <f t="shared" si="6"/>
        <v>7.9</v>
      </c>
      <c r="E90">
        <f t="shared" si="7"/>
        <v>-7.9</v>
      </c>
    </row>
    <row r="91" spans="1:5" x14ac:dyDescent="0.2">
      <c r="A91">
        <v>8</v>
      </c>
      <c r="B91">
        <f t="shared" si="4"/>
        <v>-0.90557836200662389</v>
      </c>
      <c r="C91">
        <f t="shared" si="5"/>
        <v>-7.2446268960529911</v>
      </c>
      <c r="D91">
        <f t="shared" si="6"/>
        <v>8</v>
      </c>
      <c r="E91">
        <f t="shared" si="7"/>
        <v>-8</v>
      </c>
    </row>
    <row r="92" spans="1:5" x14ac:dyDescent="0.2">
      <c r="A92">
        <v>8.1</v>
      </c>
      <c r="B92">
        <f t="shared" si="4"/>
        <v>-0.73977858507789584</v>
      </c>
      <c r="C92">
        <f t="shared" si="5"/>
        <v>-5.9922065391309562</v>
      </c>
      <c r="D92">
        <f t="shared" si="6"/>
        <v>8.1</v>
      </c>
      <c r="E92">
        <f t="shared" si="7"/>
        <v>-8.1</v>
      </c>
    </row>
    <row r="93" spans="1:5" x14ac:dyDescent="0.2">
      <c r="A93">
        <v>8.1999999999999993</v>
      </c>
      <c r="B93">
        <f t="shared" si="4"/>
        <v>-0.50789659039062518</v>
      </c>
      <c r="C93">
        <f t="shared" si="5"/>
        <v>-4.1647520412031263</v>
      </c>
      <c r="D93">
        <f t="shared" si="6"/>
        <v>8.1999999999999993</v>
      </c>
      <c r="E93">
        <f t="shared" si="7"/>
        <v>-8.1999999999999993</v>
      </c>
    </row>
    <row r="94" spans="1:5" x14ac:dyDescent="0.2">
      <c r="A94">
        <v>8.3000000000000007</v>
      </c>
      <c r="B94">
        <f t="shared" si="4"/>
        <v>-0.23064570592739222</v>
      </c>
      <c r="C94">
        <f t="shared" si="5"/>
        <v>-1.9143593591973556</v>
      </c>
      <c r="D94">
        <f t="shared" si="6"/>
        <v>8.3000000000000007</v>
      </c>
      <c r="E94">
        <f t="shared" si="7"/>
        <v>-8.3000000000000007</v>
      </c>
    </row>
    <row r="95" spans="1:5" x14ac:dyDescent="0.2">
      <c r="A95">
        <v>8.4</v>
      </c>
      <c r="B95">
        <f t="shared" si="4"/>
        <v>6.7208072525478474E-2</v>
      </c>
      <c r="C95">
        <f t="shared" si="5"/>
        <v>0.56454780921401926</v>
      </c>
      <c r="D95">
        <f t="shared" si="6"/>
        <v>8.4</v>
      </c>
      <c r="E95">
        <f t="shared" si="7"/>
        <v>-8.4</v>
      </c>
    </row>
    <row r="96" spans="1:5" x14ac:dyDescent="0.2">
      <c r="A96">
        <v>8.5</v>
      </c>
      <c r="B96">
        <f t="shared" si="4"/>
        <v>0.35905835402216829</v>
      </c>
      <c r="C96">
        <f t="shared" si="5"/>
        <v>3.0519960091884304</v>
      </c>
      <c r="D96">
        <f t="shared" si="6"/>
        <v>8.5</v>
      </c>
      <c r="E96">
        <f t="shared" si="7"/>
        <v>-8.5</v>
      </c>
    </row>
    <row r="97" spans="1:5" x14ac:dyDescent="0.2">
      <c r="A97">
        <v>8.6</v>
      </c>
      <c r="B97">
        <f t="shared" si="4"/>
        <v>0.61883502212003649</v>
      </c>
      <c r="C97">
        <f t="shared" si="5"/>
        <v>5.3219811902323135</v>
      </c>
      <c r="D97">
        <f t="shared" si="6"/>
        <v>8.6</v>
      </c>
      <c r="E97">
        <f t="shared" si="7"/>
        <v>-8.6</v>
      </c>
    </row>
    <row r="98" spans="1:5" x14ac:dyDescent="0.2">
      <c r="A98">
        <v>8.6999999999999993</v>
      </c>
      <c r="B98">
        <f t="shared" si="4"/>
        <v>0.82333300073807958</v>
      </c>
      <c r="C98">
        <f t="shared" si="5"/>
        <v>7.1629971064212921</v>
      </c>
      <c r="D98">
        <f t="shared" si="6"/>
        <v>8.6999999999999993</v>
      </c>
      <c r="E98">
        <f t="shared" si="7"/>
        <v>-8.6999999999999993</v>
      </c>
    </row>
    <row r="99" spans="1:5" x14ac:dyDescent="0.2">
      <c r="A99">
        <v>8.8000000000000007</v>
      </c>
      <c r="B99">
        <f t="shared" si="4"/>
        <v>0.95428509449269805</v>
      </c>
      <c r="C99">
        <f t="shared" si="5"/>
        <v>8.3977088315357431</v>
      </c>
      <c r="D99">
        <f t="shared" si="6"/>
        <v>8.8000000000000007</v>
      </c>
      <c r="E99">
        <f t="shared" si="7"/>
        <v>-8.8000000000000007</v>
      </c>
    </row>
    <row r="100" spans="1:5" x14ac:dyDescent="0.2">
      <c r="A100">
        <v>8.9</v>
      </c>
      <c r="B100">
        <f t="shared" si="4"/>
        <v>0.9999937428570207</v>
      </c>
      <c r="C100">
        <f t="shared" si="5"/>
        <v>8.8999443114274843</v>
      </c>
      <c r="D100">
        <f t="shared" si="6"/>
        <v>8.9</v>
      </c>
      <c r="E100">
        <f t="shared" si="7"/>
        <v>-8.9</v>
      </c>
    </row>
  </sheetData>
  <phoneticPr fontId="0" type="noConversion"/>
  <pageMargins left="0.75" right="0.75" top="1" bottom="1" header="0.5" footer="0.5"/>
  <pageSetup paperSize="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quation.3" shapeId="8193" r:id="rId4">
          <objectPr defaultSize="0" autoPict="0" r:id="rId5">
            <anchor moveWithCells="1">
              <from>
                <xdr:col>14</xdr:col>
                <xdr:colOff>323850</xdr:colOff>
                <xdr:row>1</xdr:row>
                <xdr:rowOff>9525</xdr:rowOff>
              </from>
              <to>
                <xdr:col>18</xdr:col>
                <xdr:colOff>409575</xdr:colOff>
                <xdr:row>16</xdr:row>
                <xdr:rowOff>152400</xdr:rowOff>
              </to>
            </anchor>
          </objectPr>
        </oleObject>
      </mc:Choice>
      <mc:Fallback>
        <oleObject progId="Equation.3" shapeId="8193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2"/>
  <sheetViews>
    <sheetView zoomScale="60" zoomScaleNormal="60" workbookViewId="0">
      <selection activeCell="AA31" sqref="AA31"/>
    </sheetView>
  </sheetViews>
  <sheetFormatPr defaultRowHeight="12.75" x14ac:dyDescent="0.2"/>
  <sheetData>
    <row r="2" spans="9:9" ht="23.25" x14ac:dyDescent="0.35">
      <c r="I2" s="42" t="s">
        <v>80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:R21"/>
  <sheetViews>
    <sheetView zoomScaleNormal="100" workbookViewId="0">
      <selection activeCell="S4" sqref="S4"/>
    </sheetView>
  </sheetViews>
  <sheetFormatPr defaultRowHeight="12.75" x14ac:dyDescent="0.2"/>
  <sheetData>
    <row r="2" spans="4:18" x14ac:dyDescent="0.2">
      <c r="Q2" t="s">
        <v>384</v>
      </c>
    </row>
    <row r="3" spans="4:18" x14ac:dyDescent="0.2">
      <c r="Q3" s="4" t="s">
        <v>83</v>
      </c>
      <c r="R3" s="4" t="s">
        <v>49</v>
      </c>
    </row>
    <row r="4" spans="4:18" x14ac:dyDescent="0.2">
      <c r="Q4" s="4" t="s">
        <v>41</v>
      </c>
      <c r="R4" s="4" t="s">
        <v>34</v>
      </c>
    </row>
    <row r="5" spans="4:18" x14ac:dyDescent="0.2">
      <c r="Q5" s="1">
        <v>2</v>
      </c>
      <c r="R5">
        <f>1/Q5*1000</f>
        <v>500</v>
      </c>
    </row>
    <row r="14" spans="4:18" ht="15" x14ac:dyDescent="0.25">
      <c r="M14" s="176"/>
    </row>
    <row r="15" spans="4:18" x14ac:dyDescent="0.2">
      <c r="D15" s="4" t="s">
        <v>46</v>
      </c>
      <c r="E15" s="4" t="s">
        <v>46</v>
      </c>
      <c r="F15" s="4" t="s">
        <v>49</v>
      </c>
      <c r="G15" s="4" t="s">
        <v>49</v>
      </c>
      <c r="H15" s="4" t="s">
        <v>49</v>
      </c>
      <c r="I15" s="4" t="s">
        <v>47</v>
      </c>
      <c r="J15" s="4" t="s">
        <v>47</v>
      </c>
      <c r="K15" s="4" t="s">
        <v>47</v>
      </c>
      <c r="L15" s="4" t="s">
        <v>7</v>
      </c>
      <c r="M15" s="4" t="s">
        <v>7</v>
      </c>
      <c r="N15" s="4" t="s">
        <v>48</v>
      </c>
      <c r="O15" s="4" t="s">
        <v>48</v>
      </c>
    </row>
    <row r="16" spans="4:18" ht="15" x14ac:dyDescent="0.25">
      <c r="D16" s="4" t="s">
        <v>287</v>
      </c>
      <c r="E16" s="4" t="s">
        <v>283</v>
      </c>
      <c r="F16" s="4" t="s">
        <v>377</v>
      </c>
      <c r="G16" s="4" t="s">
        <v>378</v>
      </c>
      <c r="H16" s="4" t="s">
        <v>379</v>
      </c>
      <c r="I16" s="4" t="s">
        <v>380</v>
      </c>
      <c r="J16" s="4" t="s">
        <v>381</v>
      </c>
      <c r="K16" s="4" t="s">
        <v>382</v>
      </c>
      <c r="L16" s="4" t="s">
        <v>20</v>
      </c>
      <c r="M16" s="4" t="s">
        <v>383</v>
      </c>
      <c r="N16" s="79" t="s">
        <v>37</v>
      </c>
      <c r="O16" s="79" t="s">
        <v>37</v>
      </c>
    </row>
    <row r="17" spans="4:18" x14ac:dyDescent="0.2">
      <c r="D17" s="125">
        <v>3</v>
      </c>
      <c r="E17" s="125">
        <v>5</v>
      </c>
      <c r="F17" s="125">
        <v>0</v>
      </c>
      <c r="G17" s="125">
        <v>250</v>
      </c>
      <c r="H17" s="125">
        <v>500</v>
      </c>
      <c r="I17" s="125">
        <v>0</v>
      </c>
      <c r="J17" s="125">
        <v>25</v>
      </c>
      <c r="K17" s="125">
        <v>50</v>
      </c>
      <c r="L17" s="125">
        <v>100</v>
      </c>
      <c r="M17" s="125">
        <v>50</v>
      </c>
      <c r="N17" s="125">
        <v>10</v>
      </c>
      <c r="O17" s="125">
        <v>5</v>
      </c>
    </row>
    <row r="19" spans="4:18" x14ac:dyDescent="0.2">
      <c r="L19" t="s">
        <v>218</v>
      </c>
      <c r="O19" t="s">
        <v>217</v>
      </c>
      <c r="R19" t="s">
        <v>25</v>
      </c>
    </row>
    <row r="20" spans="4:18" x14ac:dyDescent="0.2">
      <c r="K20" s="149">
        <f>D17</f>
        <v>3</v>
      </c>
      <c r="L20" s="149">
        <v>0</v>
      </c>
      <c r="M20" s="4"/>
      <c r="N20" s="149">
        <f>F17+G17</f>
        <v>250</v>
      </c>
      <c r="O20" s="149">
        <f>-G17</f>
        <v>-250</v>
      </c>
      <c r="P20" s="4"/>
      <c r="Q20" s="149">
        <f>I17+J17</f>
        <v>25</v>
      </c>
      <c r="R20" s="149">
        <f>-J17</f>
        <v>-25</v>
      </c>
    </row>
    <row r="21" spans="4:18" x14ac:dyDescent="0.2">
      <c r="K21" s="149">
        <v>0</v>
      </c>
      <c r="L21" s="149">
        <f>E17</f>
        <v>5</v>
      </c>
      <c r="M21" s="4"/>
      <c r="N21" s="149">
        <f>-G17</f>
        <v>-250</v>
      </c>
      <c r="O21" s="149">
        <f>G17+H17</f>
        <v>750</v>
      </c>
      <c r="P21" s="4"/>
      <c r="Q21" s="149">
        <f>-J17</f>
        <v>-25</v>
      </c>
      <c r="R21" s="149">
        <f>J17+K17</f>
        <v>75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159"/>
  <sheetViews>
    <sheetView zoomScale="90" zoomScaleNormal="90" workbookViewId="0">
      <selection activeCell="P147" sqref="P147"/>
    </sheetView>
  </sheetViews>
  <sheetFormatPr defaultRowHeight="12.75" x14ac:dyDescent="0.2"/>
  <sheetData>
    <row r="2" spans="2:15" ht="21" x14ac:dyDescent="0.35">
      <c r="C2" s="18" t="s">
        <v>267</v>
      </c>
      <c r="O2" s="18" t="s">
        <v>268</v>
      </c>
    </row>
    <row r="4" spans="2:15" ht="15.75" thickBot="1" x14ac:dyDescent="0.3">
      <c r="B4" s="77" t="s">
        <v>3</v>
      </c>
      <c r="C4" s="77" t="s">
        <v>186</v>
      </c>
      <c r="D4" s="77" t="s">
        <v>187</v>
      </c>
    </row>
    <row r="5" spans="2:15" ht="13.5" thickBot="1" x14ac:dyDescent="0.25">
      <c r="B5">
        <v>0</v>
      </c>
      <c r="C5" s="121">
        <f>0.6059*EXP(-3.175*B5)*(0.0245*COS(6.87*B5)-0.065*SIN(6.87*B5))+0.3645*EXP(-12.45*B5)*(0.46*COS(7*B5)+0.702*SIN(7*B5))</f>
        <v>0.18251455000000003</v>
      </c>
      <c r="D5" s="121">
        <f>0.25775*EXP(-3.17*B5)*(0.0245*COS(6.87*B5)-0.065*SIN(6.87*B5))-0.42845*EXP(-12.45*B5)*(0.46*COS(7.9*B5)+0.702*SIN(7.9*B5))</f>
        <v>-0.19077212500000001</v>
      </c>
    </row>
    <row r="6" spans="2:15" ht="13.5" thickBot="1" x14ac:dyDescent="0.25">
      <c r="B6">
        <v>0.01</v>
      </c>
      <c r="C6" s="121">
        <f t="shared" ref="C6:C69" si="0">0.6059*EXP(-3.175*B6)*(0.0245*COS(6.87*B6)-0.065*SIN(6.87*B6))+0.3645*EXP(-12.45*B6)*(0.46*COS(7*B6)+0.702*SIN(7*B6))</f>
        <v>0.17520925182730407</v>
      </c>
      <c r="D6" s="121">
        <f t="shared" ref="D6:D69" si="1">0.25775*EXP(-3.17*B6)*(0.0245*COS(6.87*B6)-0.065*SIN(6.87*B6))-0.42845*EXP(-12.45*B6)*(0.46*COS(7.9*B6)+0.702*SIN(7.9*B6))</f>
        <v>-0.18944137291848043</v>
      </c>
    </row>
    <row r="7" spans="2:15" ht="13.5" thickBot="1" x14ac:dyDescent="0.25">
      <c r="B7">
        <v>0.02</v>
      </c>
      <c r="C7" s="121">
        <f t="shared" si="0"/>
        <v>0.16600662329032964</v>
      </c>
      <c r="D7" s="121">
        <f t="shared" si="1"/>
        <v>-0.18490716495753085</v>
      </c>
    </row>
    <row r="8" spans="2:15" ht="13.5" thickBot="1" x14ac:dyDescent="0.25">
      <c r="B8">
        <v>0.03</v>
      </c>
      <c r="C8" s="121">
        <f t="shared" si="0"/>
        <v>0.15547359363730173</v>
      </c>
      <c r="D8" s="121">
        <f t="shared" si="1"/>
        <v>-0.1779715463400566</v>
      </c>
    </row>
    <row r="9" spans="2:15" ht="13.5" thickBot="1" x14ac:dyDescent="0.25">
      <c r="B9">
        <v>0.04</v>
      </c>
      <c r="C9" s="121">
        <f t="shared" si="0"/>
        <v>0.14407920209586703</v>
      </c>
      <c r="D9" s="121">
        <f t="shared" si="1"/>
        <v>-0.16930452689560316</v>
      </c>
    </row>
    <row r="10" spans="2:15" ht="13.5" thickBot="1" x14ac:dyDescent="0.25">
      <c r="B10">
        <v>0.05</v>
      </c>
      <c r="C10" s="121">
        <f t="shared" si="0"/>
        <v>0.13220760712997162</v>
      </c>
      <c r="D10" s="121">
        <f t="shared" si="1"/>
        <v>-0.15946035633971245</v>
      </c>
    </row>
    <row r="11" spans="2:15" ht="13.5" thickBot="1" x14ac:dyDescent="0.25">
      <c r="B11">
        <v>0.06</v>
      </c>
      <c r="C11" s="121">
        <f t="shared" si="0"/>
        <v>0.12016974880216599</v>
      </c>
      <c r="D11" s="121">
        <f t="shared" si="1"/>
        <v>-0.14889244076635821</v>
      </c>
    </row>
    <row r="12" spans="2:15" ht="13.5" thickBot="1" x14ac:dyDescent="0.25">
      <c r="B12">
        <v>7.0000000000000007E-2</v>
      </c>
      <c r="C12" s="121">
        <f t="shared" si="0"/>
        <v>0.10821375213992701</v>
      </c>
      <c r="D12" s="121">
        <f t="shared" si="1"/>
        <v>-0.13796691273717895</v>
      </c>
    </row>
    <row r="13" spans="2:15" ht="13.5" thickBot="1" x14ac:dyDescent="0.25">
      <c r="B13">
        <v>0.08</v>
      </c>
      <c r="C13" s="121">
        <f t="shared" si="0"/>
        <v>9.6534162695767659E-2</v>
      </c>
      <c r="D13" s="121">
        <f t="shared" si="1"/>
        <v>-0.12697489049853009</v>
      </c>
    </row>
    <row r="14" spans="2:15" ht="13.5" thickBot="1" x14ac:dyDescent="0.25">
      <c r="B14">
        <v>0.09</v>
      </c>
      <c r="C14" s="121">
        <f t="shared" si="0"/>
        <v>8.5280106407750772E-2</v>
      </c>
      <c r="D14" s="121">
        <f t="shared" si="1"/>
        <v>-0.11614347922232002</v>
      </c>
    </row>
    <row r="15" spans="2:15" ht="13.5" thickBot="1" x14ac:dyDescent="0.25">
      <c r="B15">
        <v>0.1</v>
      </c>
      <c r="C15" s="121">
        <f t="shared" si="0"/>
        <v>7.4562464916872018E-2</v>
      </c>
      <c r="D15" s="121">
        <f t="shared" si="1"/>
        <v>-0.10564557968990533</v>
      </c>
    </row>
    <row r="16" spans="2:15" ht="13.5" thickBot="1" x14ac:dyDescent="0.25">
      <c r="B16">
        <v>0.11</v>
      </c>
      <c r="C16" s="121">
        <f t="shared" si="0"/>
        <v>6.4460155109767811E-2</v>
      </c>
      <c r="D16" s="121">
        <f t="shared" si="1"/>
        <v>-9.5608578346388529E-2</v>
      </c>
    </row>
    <row r="17" spans="2:4" ht="13.5" thickBot="1" x14ac:dyDescent="0.25">
      <c r="B17">
        <v>0.12</v>
      </c>
      <c r="C17" s="121">
        <f t="shared" si="0"/>
        <v>5.502559818981731E-2</v>
      </c>
      <c r="D17" s="121">
        <f t="shared" si="1"/>
        <v>-8.6121997866861491E-2</v>
      </c>
    </row>
    <row r="18" spans="2:4" ht="13.5" thickBot="1" x14ac:dyDescent="0.25">
      <c r="B18">
        <v>0.13</v>
      </c>
      <c r="C18" s="121">
        <f t="shared" si="0"/>
        <v>4.6289459337367986E-2</v>
      </c>
      <c r="D18" s="121">
        <f t="shared" si="1"/>
        <v>-7.7244189922128337E-2</v>
      </c>
    </row>
    <row r="19" spans="2:4" ht="13.5" thickBot="1" x14ac:dyDescent="0.25">
      <c r="B19">
        <v>0.14000000000000001</v>
      </c>
      <c r="C19" s="121">
        <f t="shared" si="0"/>
        <v>3.8264734248720955E-2</v>
      </c>
      <c r="D19" s="121">
        <f t="shared" si="1"/>
        <v>-6.9008152248223695E-2</v>
      </c>
    </row>
    <row r="20" spans="2:4" ht="13.5" thickBot="1" x14ac:dyDescent="0.25">
      <c r="B20">
        <v>0.15</v>
      </c>
      <c r="C20" s="121">
        <f t="shared" si="0"/>
        <v>3.0950253746681831E-2</v>
      </c>
      <c r="D20" s="121">
        <f t="shared" si="1"/>
        <v>-6.1426550872735165E-2</v>
      </c>
    </row>
    <row r="21" spans="2:4" ht="13.5" thickBot="1" x14ac:dyDescent="0.25">
      <c r="B21">
        <v>0.16</v>
      </c>
      <c r="C21" s="121">
        <f t="shared" si="0"/>
        <v>2.4333672397028265E-2</v>
      </c>
      <c r="D21" s="121">
        <f t="shared" si="1"/>
        <v>-5.4496025823065133E-2</v>
      </c>
    </row>
    <row r="22" spans="2:4" ht="13.5" thickBot="1" x14ac:dyDescent="0.25">
      <c r="B22">
        <v>0.17</v>
      </c>
      <c r="C22" s="121">
        <f t="shared" si="0"/>
        <v>1.8394001776010516E-2</v>
      </c>
      <c r="D22" s="121">
        <f t="shared" si="1"/>
        <v>-4.820085516708001E-2</v>
      </c>
    </row>
    <row r="23" spans="2:4" ht="13.5" thickBot="1" x14ac:dyDescent="0.25">
      <c r="B23">
        <v>0.18</v>
      </c>
      <c r="C23" s="121">
        <f t="shared" si="0"/>
        <v>1.3103743816520096E-2</v>
      </c>
      <c r="D23" s="121">
        <f t="shared" si="1"/>
        <v>-4.2516048090367527E-2</v>
      </c>
    </row>
    <row r="24" spans="2:4" ht="13.5" thickBot="1" x14ac:dyDescent="0.25">
      <c r="B24">
        <v>0.19</v>
      </c>
      <c r="C24" s="121">
        <f t="shared" si="0"/>
        <v>8.4306745934566753E-3</v>
      </c>
      <c r="D24" s="121">
        <f t="shared" si="1"/>
        <v>-3.7409933124055175E-2</v>
      </c>
    </row>
    <row r="25" spans="2:4" ht="13.5" thickBot="1" x14ac:dyDescent="0.25">
      <c r="B25">
        <v>0.2</v>
      </c>
      <c r="C25" s="121">
        <f t="shared" si="0"/>
        <v>4.3393240506539484E-3</v>
      </c>
      <c r="D25" s="121">
        <f t="shared" si="1"/>
        <v>-3.2846302788731359E-2</v>
      </c>
    </row>
    <row r="26" spans="2:4" ht="13.5" thickBot="1" x14ac:dyDescent="0.25">
      <c r="B26">
        <v>0.21</v>
      </c>
      <c r="C26" s="121">
        <f t="shared" si="0"/>
        <v>7.9219256435470592E-4</v>
      </c>
      <c r="D26" s="121">
        <f t="shared" si="1"/>
        <v>-2.8786170963343155E-2</v>
      </c>
    </row>
    <row r="27" spans="2:4" ht="13.5" thickBot="1" x14ac:dyDescent="0.25">
      <c r="B27">
        <v>0.22</v>
      </c>
      <c r="C27" s="121">
        <f t="shared" si="0"/>
        <v>-2.2492590902528642E-3</v>
      </c>
      <c r="D27" s="121">
        <f t="shared" si="1"/>
        <v>-2.5189194341962845E-2</v>
      </c>
    </row>
    <row r="28" spans="2:4" ht="13.5" thickBot="1" x14ac:dyDescent="0.25">
      <c r="B28">
        <v>0.23</v>
      </c>
      <c r="C28" s="121">
        <f t="shared" si="0"/>
        <v>-4.8238138356611927E-3</v>
      </c>
      <c r="D28" s="121">
        <f t="shared" si="1"/>
        <v>-2.201480449854331E-2</v>
      </c>
    </row>
    <row r="29" spans="2:4" ht="13.5" thickBot="1" x14ac:dyDescent="0.25">
      <c r="B29">
        <v>0.24</v>
      </c>
      <c r="C29" s="121">
        <f t="shared" si="0"/>
        <v>-6.9698676472689097E-3</v>
      </c>
      <c r="D29" s="121">
        <f t="shared" si="1"/>
        <v>-1.922309241038064E-2</v>
      </c>
    </row>
    <row r="30" spans="2:4" ht="13.5" thickBot="1" x14ac:dyDescent="0.25">
      <c r="B30">
        <v>0.25</v>
      </c>
      <c r="C30" s="121">
        <f t="shared" si="0"/>
        <v>-8.7249387877592968E-3</v>
      </c>
      <c r="D30" s="121">
        <f t="shared" si="1"/>
        <v>-1.6775482846345072E-2</v>
      </c>
    </row>
    <row r="31" spans="2:4" ht="13.5" thickBot="1" x14ac:dyDescent="0.25">
      <c r="B31">
        <v>0.26</v>
      </c>
      <c r="C31" s="121">
        <f t="shared" si="0"/>
        <v>-1.0125294667266613E-2</v>
      </c>
      <c r="D31" s="121">
        <f t="shared" si="1"/>
        <v>-1.4635231841770104E-2</v>
      </c>
    </row>
    <row r="32" spans="2:4" ht="13.5" thickBot="1" x14ac:dyDescent="0.25">
      <c r="B32">
        <v>0.27</v>
      </c>
      <c r="C32" s="121">
        <f t="shared" si="0"/>
        <v>-1.1205676912368418E-2</v>
      </c>
      <c r="D32" s="121">
        <f t="shared" si="1"/>
        <v>-1.2767776581073672E-2</v>
      </c>
    </row>
    <row r="33" spans="2:4" ht="13.5" thickBot="1" x14ac:dyDescent="0.25">
      <c r="B33">
        <v>0.28000000000000003</v>
      </c>
      <c r="C33" s="121">
        <f t="shared" si="0"/>
        <v>-1.1999107786205851E-2</v>
      </c>
      <c r="D33" s="121">
        <f t="shared" si="1"/>
        <v>-1.11409634041208E-2</v>
      </c>
    </row>
    <row r="34" spans="2:4" ht="13.5" thickBot="1" x14ac:dyDescent="0.25">
      <c r="B34">
        <v>0.28999999999999998</v>
      </c>
      <c r="C34" s="121">
        <f t="shared" si="0"/>
        <v>-1.2536763398954019E-2</v>
      </c>
      <c r="D34" s="121">
        <f t="shared" si="1"/>
        <v>-9.7251763470135363E-3</v>
      </c>
    </row>
    <row r="35" spans="2:4" ht="13.5" thickBot="1" x14ac:dyDescent="0.25">
      <c r="B35">
        <v>0.3</v>
      </c>
      <c r="C35" s="121">
        <f t="shared" si="0"/>
        <v>-1.2847901198723496E-2</v>
      </c>
      <c r="D35" s="121">
        <f t="shared" si="1"/>
        <v>-8.4933856197741374E-3</v>
      </c>
    </row>
    <row r="36" spans="2:4" ht="13.5" thickBot="1" x14ac:dyDescent="0.25">
      <c r="B36">
        <v>0.31</v>
      </c>
      <c r="C36" s="121">
        <f t="shared" si="0"/>
        <v>-1.29598310549236E-2</v>
      </c>
      <c r="D36" s="121">
        <f t="shared" si="1"/>
        <v>-7.4211327045167899E-3</v>
      </c>
    </row>
    <row r="37" spans="2:4" ht="13.5" thickBot="1" x14ac:dyDescent="0.25">
      <c r="B37">
        <v>0.32</v>
      </c>
      <c r="C37" s="121">
        <f t="shared" si="0"/>
        <v>-1.2897920856676921E-2</v>
      </c>
      <c r="D37" s="121">
        <f t="shared" si="1"/>
        <v>-6.4864663165859317E-3</v>
      </c>
    </row>
    <row r="38" spans="2:4" ht="13.5" thickBot="1" x14ac:dyDescent="0.25">
      <c r="B38">
        <v>0.33</v>
      </c>
      <c r="C38" s="121">
        <f t="shared" si="0"/>
        <v>-1.2685628965528288E-2</v>
      </c>
      <c r="D38" s="121">
        <f t="shared" si="1"/>
        <v>-5.6698412934096708E-3</v>
      </c>
    </row>
    <row r="39" spans="2:4" ht="13.5" thickBot="1" x14ac:dyDescent="0.25">
      <c r="B39">
        <v>0.34</v>
      </c>
      <c r="C39" s="121">
        <f t="shared" si="0"/>
        <v>-1.2344557101588396E-2</v>
      </c>
      <c r="D39" s="121">
        <f t="shared" si="1"/>
        <v>-4.9539905452230509E-3</v>
      </c>
    </row>
    <row r="40" spans="2:4" ht="13.5" thickBot="1" x14ac:dyDescent="0.25">
      <c r="B40">
        <v>0.35</v>
      </c>
      <c r="C40" s="121">
        <f t="shared" si="0"/>
        <v>-1.1894518321962901E-2</v>
      </c>
      <c r="D40" s="121">
        <f t="shared" si="1"/>
        <v>-4.3237785009490291E-3</v>
      </c>
    </row>
    <row r="41" spans="2:4" ht="13.5" thickBot="1" x14ac:dyDescent="0.25">
      <c r="B41">
        <v>0.36</v>
      </c>
      <c r="C41" s="121">
        <f t="shared" si="0"/>
        <v>-1.1353615685666901E-2</v>
      </c>
      <c r="D41" s="121">
        <f t="shared" si="1"/>
        <v>-3.7660429934083307E-3</v>
      </c>
    </row>
    <row r="42" spans="2:4" ht="13.5" thickBot="1" x14ac:dyDescent="0.25">
      <c r="B42">
        <v>0.37</v>
      </c>
      <c r="C42" s="121">
        <f t="shared" si="0"/>
        <v>-1.0738328005165916E-2</v>
      </c>
      <c r="D42" s="121">
        <f t="shared" si="1"/>
        <v>-3.2694312325870097E-3</v>
      </c>
    </row>
    <row r="43" spans="2:4" ht="13.5" thickBot="1" x14ac:dyDescent="0.25">
      <c r="B43">
        <v>0.38</v>
      </c>
      <c r="C43" s="121">
        <f t="shared" si="0"/>
        <v>-1.0063599775224228E-2</v>
      </c>
      <c r="D43" s="121">
        <f t="shared" si="1"/>
        <v>-2.8242343961180287E-3</v>
      </c>
    </row>
    <row r="44" spans="2:4" ht="13.5" thickBot="1" x14ac:dyDescent="0.25">
      <c r="B44">
        <v>0.39</v>
      </c>
      <c r="C44" s="121">
        <f t="shared" si="0"/>
        <v>-9.3429329578929715E-3</v>
      </c>
      <c r="D44" s="121">
        <f t="shared" si="1"/>
        <v>-2.4222244051778268E-3</v>
      </c>
    </row>
    <row r="45" spans="2:4" ht="13.5" thickBot="1" x14ac:dyDescent="0.25">
      <c r="B45">
        <v>0.4</v>
      </c>
      <c r="C45" s="121">
        <f t="shared" si="0"/>
        <v>-8.588478800237824E-3</v>
      </c>
      <c r="D45" s="121">
        <f t="shared" si="1"/>
        <v>-2.0564956351702629E-3</v>
      </c>
    </row>
    <row r="46" spans="2:4" ht="13.5" thickBot="1" x14ac:dyDescent="0.25">
      <c r="B46">
        <v>0.41</v>
      </c>
      <c r="C46" s="121">
        <f t="shared" si="0"/>
        <v>-7.8111282797881081E-3</v>
      </c>
      <c r="D46" s="121">
        <f t="shared" si="1"/>
        <v>-1.7213136182873199E-3</v>
      </c>
    </row>
    <row r="47" spans="2:4" ht="13.5" thickBot="1" x14ac:dyDescent="0.25">
      <c r="B47">
        <v>0.42</v>
      </c>
      <c r="C47" s="121">
        <f t="shared" si="0"/>
        <v>-7.0206001217037444E-3</v>
      </c>
      <c r="D47" s="121">
        <f t="shared" si="1"/>
        <v>-1.4119722147269375E-3</v>
      </c>
    </row>
    <row r="48" spans="2:4" ht="13.5" thickBot="1" x14ac:dyDescent="0.25">
      <c r="B48">
        <v>0.43</v>
      </c>
      <c r="C48" s="121">
        <f t="shared" si="0"/>
        <v>-6.2255256203723637E-3</v>
      </c>
      <c r="D48" s="121">
        <f t="shared" si="1"/>
        <v>-1.1246602475063197E-3</v>
      </c>
    </row>
    <row r="49" spans="2:4" ht="13.5" thickBot="1" x14ac:dyDescent="0.25">
      <c r="B49">
        <v>0.44</v>
      </c>
      <c r="C49" s="121">
        <f t="shared" si="0"/>
        <v>-5.4335297347330334E-3</v>
      </c>
      <c r="D49" s="121">
        <f t="shared" si="1"/>
        <v>-8.5633820001754127E-4</v>
      </c>
    </row>
    <row r="50" spans="2:4" ht="13.5" thickBot="1" x14ac:dyDescent="0.25">
      <c r="B50">
        <v>0.45</v>
      </c>
      <c r="C50" s="121">
        <f t="shared" si="0"/>
        <v>-4.6513081183896252E-3</v>
      </c>
      <c r="D50" s="121">
        <f t="shared" si="1"/>
        <v>-6.046252544020718E-4</v>
      </c>
    </row>
    <row r="51" spans="2:4" ht="13.5" thickBot="1" x14ac:dyDescent="0.25">
      <c r="B51">
        <v>0.46</v>
      </c>
      <c r="C51" s="121">
        <f t="shared" si="0"/>
        <v>-3.8846998990425749E-3</v>
      </c>
      <c r="D51" s="121">
        <f t="shared" si="1"/>
        <v>-3.6769669220806651E-4</v>
      </c>
    </row>
    <row r="52" spans="2:4" ht="13.5" thickBot="1" x14ac:dyDescent="0.25">
      <c r="B52">
        <v>0.47</v>
      </c>
      <c r="C52" s="121">
        <f t="shared" si="0"/>
        <v>-3.1387561427100872E-3</v>
      </c>
      <c r="D52" s="121">
        <f t="shared" si="1"/>
        <v>-1.4419147740217346E-4</v>
      </c>
    </row>
    <row r="53" spans="2:4" ht="13.5" thickBot="1" x14ac:dyDescent="0.25">
      <c r="B53">
        <v>0.48</v>
      </c>
      <c r="C53" s="121">
        <f t="shared" si="0"/>
        <v>-2.4178040317230404E-3</v>
      </c>
      <c r="D53" s="121">
        <f t="shared" si="1"/>
        <v>6.6870312622973205E-5</v>
      </c>
    </row>
    <row r="54" spans="2:4" ht="13.5" thickBot="1" x14ac:dyDescent="0.25">
      <c r="B54">
        <v>0.49</v>
      </c>
      <c r="C54" s="121">
        <f t="shared" si="0"/>
        <v>-1.7255068560335833E-3</v>
      </c>
      <c r="D54" s="121">
        <f t="shared" si="1"/>
        <v>2.6616065721179636E-4</v>
      </c>
    </row>
    <row r="55" spans="2:4" ht="13.5" thickBot="1" x14ac:dyDescent="0.25">
      <c r="B55">
        <v>0.5</v>
      </c>
      <c r="C55" s="121">
        <f t="shared" si="0"/>
        <v>-1.0649199688770358E-3</v>
      </c>
      <c r="D55" s="121">
        <f t="shared" si="1"/>
        <v>4.5410789461039995E-4</v>
      </c>
    </row>
    <row r="56" spans="2:4" ht="13.5" thickBot="1" x14ac:dyDescent="0.25">
      <c r="B56">
        <v>0.51</v>
      </c>
      <c r="C56" s="121">
        <f t="shared" si="0"/>
        <v>-4.3854289365947009E-4</v>
      </c>
      <c r="D56" s="121">
        <f t="shared" si="1"/>
        <v>6.3095274117292083E-4</v>
      </c>
    </row>
    <row r="57" spans="2:4" ht="13.5" thickBot="1" x14ac:dyDescent="0.25">
      <c r="B57">
        <v>0.52</v>
      </c>
      <c r="C57" s="121">
        <f t="shared" si="0"/>
        <v>1.5163220796610572E-4</v>
      </c>
      <c r="D57" s="121">
        <f t="shared" si="1"/>
        <v>7.9679664436352478E-4</v>
      </c>
    </row>
    <row r="58" spans="2:4" ht="13.5" thickBot="1" x14ac:dyDescent="0.25">
      <c r="B58">
        <v>0.53</v>
      </c>
      <c r="C58" s="121">
        <f t="shared" si="0"/>
        <v>7.0407548401166481E-4</v>
      </c>
      <c r="D58" s="121">
        <f t="shared" si="1"/>
        <v>9.5164309982412223E-4</v>
      </c>
    </row>
    <row r="59" spans="2:4" ht="13.5" thickBot="1" x14ac:dyDescent="0.25">
      <c r="B59">
        <v>0.54</v>
      </c>
      <c r="C59" s="121">
        <f t="shared" si="0"/>
        <v>1.2176775284587114E-3</v>
      </c>
      <c r="D59" s="121">
        <f t="shared" si="1"/>
        <v>1.0954325617965805E-3</v>
      </c>
    </row>
    <row r="60" spans="2:4" ht="13.5" thickBot="1" x14ac:dyDescent="0.25">
      <c r="B60">
        <v>0.55000000000000004</v>
      </c>
      <c r="C60" s="121">
        <f t="shared" si="0"/>
        <v>1.6917104798605022E-3</v>
      </c>
      <c r="D60" s="121">
        <f t="shared" si="1"/>
        <v>1.2280715638721994E-3</v>
      </c>
    </row>
    <row r="61" spans="2:4" ht="13.5" thickBot="1" x14ac:dyDescent="0.25">
      <c r="B61">
        <v>0.56000000000000005</v>
      </c>
      <c r="C61" s="121">
        <f t="shared" si="0"/>
        <v>2.1257918623925863E-3</v>
      </c>
      <c r="D61" s="121">
        <f t="shared" si="1"/>
        <v>1.3494566460739289E-3</v>
      </c>
    </row>
    <row r="62" spans="2:4" ht="13.5" thickBot="1" x14ac:dyDescent="0.25">
      <c r="B62">
        <v>0.56999999999999995</v>
      </c>
      <c r="C62" s="121">
        <f t="shared" si="0"/>
        <v>2.5198509592187224E-3</v>
      </c>
      <c r="D62" s="121">
        <f t="shared" si="1"/>
        <v>1.4594936569171145E-3</v>
      </c>
    </row>
    <row r="63" spans="2:4" ht="13.5" thickBot="1" x14ac:dyDescent="0.25">
      <c r="B63">
        <v>0.57999999999999996</v>
      </c>
      <c r="C63" s="121">
        <f t="shared" si="0"/>
        <v>2.8740975201726913E-3</v>
      </c>
      <c r="D63" s="121">
        <f t="shared" si="1"/>
        <v>1.5581129672268216E-3</v>
      </c>
    </row>
    <row r="64" spans="2:4" ht="13.5" thickBot="1" x14ac:dyDescent="0.25">
      <c r="B64">
        <v>0.59</v>
      </c>
      <c r="C64" s="121">
        <f t="shared" si="0"/>
        <v>3.1889926194439014E-3</v>
      </c>
      <c r="D64" s="121">
        <f t="shared" si="1"/>
        <v>1.6452810976704127E-3</v>
      </c>
    </row>
    <row r="65" spans="2:4" ht="13.5" thickBot="1" x14ac:dyDescent="0.25">
      <c r="B65">
        <v>0.6</v>
      </c>
      <c r="C65" s="121">
        <f t="shared" si="0"/>
        <v>3.4652214934997919E-3</v>
      </c>
      <c r="D65" s="121">
        <f t="shared" si="1"/>
        <v>1.7210092254646696E-3</v>
      </c>
    </row>
    <row r="66" spans="2:4" ht="13.5" thickBot="1" x14ac:dyDescent="0.25">
      <c r="B66">
        <v>0.61</v>
      </c>
      <c r="C66" s="121">
        <f t="shared" si="0"/>
        <v>3.7036682043243901E-3</v>
      </c>
      <c r="D66" s="121">
        <f t="shared" si="1"/>
        <v>1.7853589985618171E-3</v>
      </c>
    </row>
    <row r="67" spans="2:4" ht="13.5" thickBot="1" x14ac:dyDescent="0.25">
      <c r="B67">
        <v>0.62</v>
      </c>
      <c r="C67" s="121">
        <f t="shared" si="0"/>
        <v>3.9053919877662735E-3</v>
      </c>
      <c r="D67" s="121">
        <f t="shared" si="1"/>
        <v>1.8384460486215067E-3</v>
      </c>
    </row>
    <row r="68" spans="2:4" ht="13.5" thickBot="1" x14ac:dyDescent="0.25">
      <c r="B68">
        <v>0.63</v>
      </c>
      <c r="C68" s="121">
        <f t="shared" si="0"/>
        <v>4.0716051610382512E-3</v>
      </c>
      <c r="D68" s="121">
        <f t="shared" si="1"/>
        <v>1.8804415578685979E-3</v>
      </c>
    </row>
    <row r="69" spans="2:4" ht="13.5" thickBot="1" x14ac:dyDescent="0.25">
      <c r="B69">
        <v>0.64</v>
      </c>
      <c r="C69" s="121">
        <f t="shared" si="0"/>
        <v>4.2036524769492149E-3</v>
      </c>
      <c r="D69" s="121">
        <f t="shared" si="1"/>
        <v>1.9115721999990658E-3</v>
      </c>
    </row>
    <row r="70" spans="2:4" ht="13.5" thickBot="1" x14ac:dyDescent="0.25">
      <c r="B70">
        <v>0.65</v>
      </c>
      <c r="C70" s="121">
        <f t="shared" ref="C70:C133" si="2">0.6059*EXP(-3.175*B70)*(0.0245*COS(6.87*B70)-0.065*SIN(6.87*B70))+0.3645*EXP(-12.45*B70)*(0.46*COS(7*B70)+0.702*SIN(7*B70))</f>
        <v>4.3029918251018626E-3</v>
      </c>
      <c r="D70" s="121">
        <f t="shared" ref="D70:D133" si="3">0.25775*EXP(-3.17*B70)*(0.0245*COS(6.87*B70)-0.065*SIN(6.87*B70))-0.42845*EXP(-12.45*B70)*(0.46*COS(7.9*B70)+0.702*SIN(7.9*B70))</f>
        <v>1.9321187419801291E-3</v>
      </c>
    </row>
    <row r="71" spans="2:4" ht="13.5" thickBot="1" x14ac:dyDescent="0.25">
      <c r="B71">
        <v>0.66</v>
      </c>
      <c r="C71" s="121">
        <f t="shared" si="2"/>
        <v>4.3711761919432617E-3</v>
      </c>
      <c r="D71" s="121">
        <f t="shared" si="3"/>
        <v>1.94241356214077E-3</v>
      </c>
    </row>
    <row r="72" spans="2:4" ht="13.5" thickBot="1" x14ac:dyDescent="0.25">
      <c r="B72">
        <v>0.67</v>
      </c>
      <c r="C72" s="121">
        <f t="shared" si="2"/>
        <v>4.4098368021422965E-3</v>
      </c>
      <c r="D72" s="121">
        <f t="shared" si="3"/>
        <v>1.9428373105222882E-3</v>
      </c>
    </row>
    <row r="73" spans="2:4" ht="13.5" thickBot="1" x14ac:dyDescent="0.25">
      <c r="B73">
        <v>0.68</v>
      </c>
      <c r="C73" s="121">
        <f t="shared" si="2"/>
        <v>4.4206673732610051E-3</v>
      </c>
      <c r="D73" s="121">
        <f t="shared" si="3"/>
        <v>1.9338149101414104E-3</v>
      </c>
    </row>
    <row r="74" spans="2:4" ht="13.5" thickBot="1" x14ac:dyDescent="0.25">
      <c r="B74">
        <v>0.69</v>
      </c>
      <c r="C74" s="121">
        <f t="shared" si="2"/>
        <v>4.4054094240900885E-3</v>
      </c>
      <c r="D74" s="121">
        <f t="shared" si="3"/>
        <v>1.9158110726394267E-3</v>
      </c>
    </row>
    <row r="75" spans="2:4" ht="13.5" thickBot="1" x14ac:dyDescent="0.25">
      <c r="B75">
        <v>0.7</v>
      </c>
      <c r="C75" s="121">
        <f t="shared" si="2"/>
        <v>4.3658385843595836E-3</v>
      </c>
      <c r="D75" s="121">
        <f t="shared" si="3"/>
        <v>1.8893254787334412E-3</v>
      </c>
    </row>
    <row r="76" spans="2:4" ht="13.5" thickBot="1" x14ac:dyDescent="0.25">
      <c r="B76">
        <v>0.71</v>
      </c>
      <c r="C76" s="121">
        <f t="shared" si="2"/>
        <v>4.3037518598603242E-3</v>
      </c>
      <c r="D76" s="121">
        <f t="shared" si="3"/>
        <v>1.854887752898804E-3</v>
      </c>
    </row>
    <row r="77" spans="2:4" ht="13.5" thickBot="1" x14ac:dyDescent="0.25">
      <c r="B77">
        <v>0.72</v>
      </c>
      <c r="C77" s="121">
        <f t="shared" si="2"/>
        <v>4.2209558123800627E-3</v>
      </c>
      <c r="D77" s="121">
        <f t="shared" si="3"/>
        <v>1.8130523427177844E-3</v>
      </c>
    </row>
    <row r="78" spans="2:4" ht="13.5" thickBot="1" x14ac:dyDescent="0.25">
      <c r="B78">
        <v>0.73</v>
      </c>
      <c r="C78" s="121">
        <f t="shared" si="2"/>
        <v>4.1192556183386915E-3</v>
      </c>
      <c r="D78" s="121">
        <f t="shared" si="3"/>
        <v>1.764393396232149E-3</v>
      </c>
    </row>
    <row r="79" spans="2:4" ht="13.5" thickBot="1" x14ac:dyDescent="0.25">
      <c r="B79">
        <v>0.74</v>
      </c>
      <c r="C79" s="121">
        <f t="shared" si="2"/>
        <v>4.0004449736752582E-3</v>
      </c>
      <c r="D79" s="121">
        <f t="shared" si="3"/>
        <v>1.7094997153272653E-3</v>
      </c>
    </row>
    <row r="80" spans="2:4" ht="13.5" thickBot="1" x14ac:dyDescent="0.25">
      <c r="B80">
        <v>0.75</v>
      </c>
      <c r="C80" s="121">
        <f t="shared" si="2"/>
        <v>3.8662968154731759E-3</v>
      </c>
      <c r="D80" s="121">
        <f t="shared" si="3"/>
        <v>1.648969849535487E-3</v>
      </c>
    </row>
    <row r="81" spans="2:4" ht="13.5" thickBot="1" x14ac:dyDescent="0.25">
      <c r="B81">
        <v>0.76</v>
      </c>
      <c r="C81" s="121">
        <f t="shared" si="2"/>
        <v>3.7185548330887063E-3</v>
      </c>
      <c r="D81" s="121">
        <f t="shared" si="3"/>
        <v>1.5834073825554092E-3</v>
      </c>
    </row>
    <row r="82" spans="2:4" ht="13.5" thickBot="1" x14ac:dyDescent="0.25">
      <c r="B82">
        <v>0.77</v>
      </c>
      <c r="C82" s="121">
        <f t="shared" si="2"/>
        <v>3.5589257432496551E-3</v>
      </c>
      <c r="D82" s="121">
        <f t="shared" si="3"/>
        <v>1.5134164531192095E-3</v>
      </c>
    </row>
    <row r="83" spans="2:4" ht="13.5" thickBot="1" x14ac:dyDescent="0.25">
      <c r="B83">
        <v>0.78</v>
      </c>
      <c r="C83" s="121">
        <f t="shared" si="2"/>
        <v>3.389072304792335E-3</v>
      </c>
      <c r="D83" s="121">
        <f t="shared" si="3"/>
        <v>1.4395975424819382E-3</v>
      </c>
    </row>
    <row r="84" spans="2:4" ht="13.5" thickBot="1" x14ac:dyDescent="0.25">
      <c r="B84">
        <v>0.79</v>
      </c>
      <c r="C84" s="121">
        <f t="shared" si="2"/>
        <v>3.2106070494783592E-3</v>
      </c>
      <c r="D84" s="121">
        <f t="shared" si="3"/>
        <v>1.3625435526374075E-3</v>
      </c>
    </row>
    <row r="85" spans="2:4" ht="13.5" thickBot="1" x14ac:dyDescent="0.25">
      <c r="B85">
        <v>0.8</v>
      </c>
      <c r="C85" s="121">
        <f t="shared" si="2"/>
        <v>3.025086705747357E-3</v>
      </c>
      <c r="D85" s="121">
        <f t="shared" si="3"/>
        <v>1.2828361922730977E-3</v>
      </c>
    </row>
    <row r="86" spans="2:4" ht="13.5" thickBot="1" x14ac:dyDescent="0.25">
      <c r="B86">
        <v>0.81</v>
      </c>
      <c r="C86" s="121">
        <f t="shared" si="2"/>
        <v>2.8340072923815724E-3</v>
      </c>
      <c r="D86" s="121">
        <f t="shared" si="3"/>
        <v>1.2010426813549525E-3</v>
      </c>
    </row>
    <row r="87" spans="2:4" ht="13.5" thickBot="1" x14ac:dyDescent="0.25">
      <c r="B87">
        <v>0.82</v>
      </c>
      <c r="C87" s="121">
        <f t="shared" si="2"/>
        <v>2.6387998589429322E-3</v>
      </c>
      <c r="D87" s="121">
        <f t="shared" si="3"/>
        <v>1.1177127799825222E-3</v>
      </c>
    </row>
    <row r="88" spans="2:4" ht="13.5" thickBot="1" x14ac:dyDescent="0.25">
      <c r="B88">
        <v>0.83</v>
      </c>
      <c r="C88" s="121">
        <f t="shared" si="2"/>
        <v>2.4408268495464381E-3</v>
      </c>
      <c r="D88" s="121">
        <f t="shared" si="3"/>
        <v>1.0333761426827544E-3</v>
      </c>
    </row>
    <row r="89" spans="2:4" ht="13.5" thickBot="1" x14ac:dyDescent="0.25">
      <c r="B89">
        <v>0.84</v>
      </c>
      <c r="C89" s="121">
        <f t="shared" si="2"/>
        <v>2.2413790661049565E-3</v>
      </c>
      <c r="D89" s="121">
        <f t="shared" si="3"/>
        <v>9.4853999553130288E-4</v>
      </c>
    </row>
    <row r="90" spans="2:4" ht="13.5" thickBot="1" x14ac:dyDescent="0.25">
      <c r="B90">
        <v>0.85</v>
      </c>
      <c r="C90" s="121">
        <f t="shared" si="2"/>
        <v>2.0416732066628703E-3</v>
      </c>
      <c r="D90" s="121">
        <f t="shared" si="3"/>
        <v>8.6368713032480642E-4</v>
      </c>
    </row>
    <row r="91" spans="2:4" ht="13.5" thickBot="1" x14ac:dyDescent="0.25">
      <c r="B91">
        <v>0.86</v>
      </c>
      <c r="C91" s="121">
        <f t="shared" si="2"/>
        <v>1.8428499538689319E-3</v>
      </c>
      <c r="D91" s="121">
        <f t="shared" si="3"/>
        <v>7.7927420740468766E-4</v>
      </c>
    </row>
    <row r="92" spans="2:4" ht="13.5" thickBot="1" x14ac:dyDescent="0.25">
      <c r="B92">
        <v>0.87</v>
      </c>
      <c r="C92" s="121">
        <f t="shared" si="2"/>
        <v>1.6459725880551717E-3</v>
      </c>
      <c r="D92" s="121">
        <f t="shared" si="3"/>
        <v>6.9573035658747329E-4</v>
      </c>
    </row>
    <row r="93" spans="2:4" ht="13.5" thickBot="1" x14ac:dyDescent="0.25">
      <c r="B93">
        <v>0.88</v>
      </c>
      <c r="C93" s="121">
        <f t="shared" si="2"/>
        <v>1.4520260988185457E-3</v>
      </c>
      <c r="D93" s="121">
        <f t="shared" si="3"/>
        <v>6.1345606392997163E-4</v>
      </c>
    </row>
    <row r="94" spans="2:4" ht="13.5" thickBot="1" x14ac:dyDescent="0.25">
      <c r="B94">
        <v>0.89</v>
      </c>
      <c r="C94" s="121">
        <f t="shared" si="2"/>
        <v>1.2619167684694876E-3</v>
      </c>
      <c r="D94" s="121">
        <f t="shared" si="3"/>
        <v>5.3282233069709001E-4</v>
      </c>
    </row>
    <row r="95" spans="2:4" ht="13.5" thickBot="1" x14ac:dyDescent="0.25">
      <c r="B95">
        <v>0.9</v>
      </c>
      <c r="C95" s="121">
        <f t="shared" si="2"/>
        <v>1.0764722002375641E-3</v>
      </c>
      <c r="D95" s="121">
        <f t="shared" si="3"/>
        <v>4.5417008985853175E-4</v>
      </c>
    </row>
    <row r="96" spans="2:4" ht="13.5" thickBot="1" x14ac:dyDescent="0.25">
      <c r="B96">
        <v>0.91</v>
      </c>
      <c r="C96" s="121">
        <f t="shared" si="2"/>
        <v>8.9644176372580123E-4</v>
      </c>
      <c r="D96" s="121">
        <f t="shared" si="3"/>
        <v>3.7780986467623225E-4</v>
      </c>
    </row>
    <row r="97" spans="2:4" ht="13.5" thickBot="1" x14ac:dyDescent="0.25">
      <c r="B97">
        <v>0.92</v>
      </c>
      <c r="C97" s="121">
        <f t="shared" si="2"/>
        <v>7.2249742979512799E-4</v>
      </c>
      <c r="D97" s="121">
        <f t="shared" si="3"/>
        <v>3.0402165341975507E-4</v>
      </c>
    </row>
    <row r="98" spans="2:4" ht="13.5" thickBot="1" x14ac:dyDescent="0.25">
      <c r="B98">
        <v>0.93</v>
      </c>
      <c r="C98" s="121">
        <f t="shared" si="2"/>
        <v>5.5523496684914918E-4</v>
      </c>
      <c r="D98" s="121">
        <f t="shared" si="3"/>
        <v>2.3305502392915518E-4</v>
      </c>
    </row>
    <row r="99" spans="2:4" ht="13.5" thickBot="1" x14ac:dyDescent="0.25">
      <c r="B99">
        <v>0.94</v>
      </c>
      <c r="C99" s="121">
        <f t="shared" si="2"/>
        <v>3.9517547038426935E-4</v>
      </c>
      <c r="D99" s="121">
        <f t="shared" si="3"/>
        <v>1.6512940160489956E-4</v>
      </c>
    </row>
    <row r="100" spans="2:4" ht="13.5" thickBot="1" x14ac:dyDescent="0.25">
      <c r="B100">
        <v>0.95</v>
      </c>
      <c r="C100" s="121">
        <f t="shared" si="2"/>
        <v>2.4276719767561309E-4</v>
      </c>
      <c r="D100" s="121">
        <f t="shared" si="3"/>
        <v>1.0043453441669249E-4</v>
      </c>
    </row>
    <row r="101" spans="2:4" ht="13.5" thickBot="1" x14ac:dyDescent="0.25">
      <c r="B101">
        <v>0.96</v>
      </c>
      <c r="C101" s="121">
        <f t="shared" si="2"/>
        <v>9.8387679587794301E-5</v>
      </c>
      <c r="D101" s="121">
        <f t="shared" si="3"/>
        <v>3.913111866509039E-5</v>
      </c>
    </row>
    <row r="102" spans="2:4" ht="13.5" thickBot="1" x14ac:dyDescent="0.25">
      <c r="B102">
        <v>0.97</v>
      </c>
      <c r="C102" s="121">
        <f t="shared" si="2"/>
        <v>-3.7653918268466305E-5</v>
      </c>
      <c r="D102" s="121">
        <f t="shared" si="3"/>
        <v>-1.8648430518140836E-5</v>
      </c>
    </row>
    <row r="103" spans="2:4" ht="13.5" thickBot="1" x14ac:dyDescent="0.25">
      <c r="B103">
        <v>0.98</v>
      </c>
      <c r="C103" s="121">
        <f t="shared" si="2"/>
        <v>-1.6511421246897547E-4</v>
      </c>
      <c r="D103" s="121">
        <f t="shared" si="3"/>
        <v>-7.2799079600078406E-5</v>
      </c>
    </row>
    <row r="104" spans="2:4" ht="13.5" thickBot="1" x14ac:dyDescent="0.25">
      <c r="B104">
        <v>0.99</v>
      </c>
      <c r="C104" s="121">
        <f t="shared" si="2"/>
        <v>-2.8381282378010271E-4</v>
      </c>
      <c r="D104" s="121">
        <f t="shared" si="3"/>
        <v>-1.2324216325357512E-4</v>
      </c>
    </row>
    <row r="105" spans="2:4" ht="13.5" thickBot="1" x14ac:dyDescent="0.25">
      <c r="B105">
        <v>1</v>
      </c>
      <c r="C105" s="121">
        <f t="shared" si="2"/>
        <v>-3.9362943065881405E-4</v>
      </c>
      <c r="D105" s="121">
        <f t="shared" si="3"/>
        <v>-1.6992427190028878E-4</v>
      </c>
    </row>
    <row r="106" spans="2:4" ht="13.5" thickBot="1" x14ac:dyDescent="0.25">
      <c r="B106">
        <v>1.01</v>
      </c>
      <c r="C106" s="121">
        <f t="shared" si="2"/>
        <v>-4.9450068001638894E-4</v>
      </c>
      <c r="D106" s="121">
        <f t="shared" si="3"/>
        <v>-2.1281605440864066E-4</v>
      </c>
    </row>
    <row r="107" spans="2:4" ht="13.5" thickBot="1" x14ac:dyDescent="0.25">
      <c r="B107">
        <v>1.02</v>
      </c>
      <c r="C107" s="121">
        <f t="shared" si="2"/>
        <v>-5.8641698026351335E-4</v>
      </c>
      <c r="D107" s="121">
        <f t="shared" si="3"/>
        <v>-2.5191094958206233E-4</v>
      </c>
    </row>
    <row r="108" spans="2:4" ht="13.5" thickBot="1" x14ac:dyDescent="0.25">
      <c r="B108">
        <v>1.03</v>
      </c>
      <c r="C108" s="121">
        <f t="shared" si="2"/>
        <v>-6.6941920081851696E-4</v>
      </c>
      <c r="D108" s="121">
        <f t="shared" si="3"/>
        <v>-2.8722385945516185E-4</v>
      </c>
    </row>
    <row r="109" spans="2:4" ht="13.5" thickBot="1" x14ac:dyDescent="0.25">
      <c r="B109">
        <v>1.04</v>
      </c>
      <c r="C109" s="121">
        <f t="shared" si="2"/>
        <v>-7.4359530134608957E-4</v>
      </c>
      <c r="D109" s="121">
        <f t="shared" si="3"/>
        <v>-3.1878977677108651E-4</v>
      </c>
    </row>
    <row r="110" spans="2:4" ht="13.5" thickBot="1" x14ac:dyDescent="0.25">
      <c r="B110">
        <v>1.05</v>
      </c>
      <c r="C110" s="121">
        <f t="shared" si="2"/>
        <v>-8.0907691300885248E-4</v>
      </c>
      <c r="D110" s="121">
        <f t="shared" si="3"/>
        <v>-3.4666237834913471E-4</v>
      </c>
    </row>
    <row r="111" spans="2:4" ht="13.5" thickBot="1" x14ac:dyDescent="0.25">
      <c r="B111">
        <v>1.06</v>
      </c>
      <c r="C111" s="121">
        <f t="shared" si="2"/>
        <v>-8.6603589296709255E-4</v>
      </c>
      <c r="D111" s="121">
        <f t="shared" si="3"/>
        <v>-3.7091259537352673E-4</v>
      </c>
    </row>
    <row r="112" spans="2:4" ht="13.5" thickBot="1" x14ac:dyDescent="0.25">
      <c r="B112">
        <v>1.07</v>
      </c>
      <c r="C112" s="121">
        <f t="shared" si="2"/>
        <v>-9.1468087226102552E-4</v>
      </c>
      <c r="D112" s="121">
        <f t="shared" si="3"/>
        <v>-3.9162717094737021E-4</v>
      </c>
    </row>
    <row r="113" spans="2:4" ht="13.5" thickBot="1" x14ac:dyDescent="0.25">
      <c r="B113">
        <v>1.08</v>
      </c>
      <c r="C113" s="121">
        <f t="shared" si="2"/>
        <v>-9.5525381606370954E-4</v>
      </c>
      <c r="D113" s="121">
        <f t="shared" si="3"/>
        <v>-4.0890721456484389E-4</v>
      </c>
    </row>
    <row r="114" spans="2:4" ht="13.5" thickBot="1" x14ac:dyDescent="0.25">
      <c r="B114">
        <v>1.0900000000000001</v>
      </c>
      <c r="C114" s="121">
        <f t="shared" si="2"/>
        <v>-9.8802661410964023E-4</v>
      </c>
      <c r="D114" s="121">
        <f t="shared" si="3"/>
        <v>-4.2286676246359729E-4</v>
      </c>
    </row>
    <row r="115" spans="2:4" ht="13.5" thickBot="1" x14ac:dyDescent="0.25">
      <c r="B115">
        <v>1.1000000000000001</v>
      </c>
      <c r="C115" s="121">
        <f t="shared" si="2"/>
        <v>-1.0132977178924146E-3</v>
      </c>
      <c r="D115" s="121">
        <f t="shared" si="3"/>
        <v>-4.336313521318955E-4</v>
      </c>
    </row>
    <row r="116" spans="2:4" ht="13.5" thickBot="1" x14ac:dyDescent="0.25">
      <c r="B116">
        <v>1.1100000000000001</v>
      </c>
      <c r="C116" s="121">
        <f t="shared" si="2"/>
        <v>-1.0313888399927085E-3</v>
      </c>
      <c r="D116" s="121">
        <f t="shared" si="3"/>
        <v>-4.4133661856433774E-4</v>
      </c>
    </row>
    <row r="117" spans="2:4" ht="13.5" thickBot="1" x14ac:dyDescent="0.25">
      <c r="B117">
        <v>1.1200000000000001</v>
      </c>
      <c r="C117" s="121">
        <f t="shared" si="2"/>
        <v>-1.0426417296532065E-3</v>
      </c>
      <c r="D117" s="121">
        <f t="shared" si="3"/>
        <v>-4.4612691918896559E-4</v>
      </c>
    </row>
    <row r="118" spans="2:4" ht="13.5" thickBot="1" x14ac:dyDescent="0.25">
      <c r="B118">
        <v>1.1299999999999999</v>
      </c>
      <c r="C118" s="121">
        <f t="shared" si="2"/>
        <v>-1.0474150374674416E-3</v>
      </c>
      <c r="D118" s="121">
        <f t="shared" si="3"/>
        <v>-4.4815399372972309E-4</v>
      </c>
    </row>
    <row r="119" spans="2:4" ht="13.5" thickBot="1" x14ac:dyDescent="0.25">
      <c r="B119">
        <v>1.1399999999999999</v>
      </c>
      <c r="C119" s="121">
        <f t="shared" si="2"/>
        <v>-1.0460812808020476E-3</v>
      </c>
      <c r="D119" s="121">
        <f t="shared" si="3"/>
        <v>-4.475756646238705E-4</v>
      </c>
    </row>
    <row r="120" spans="2:4" ht="13.5" thickBot="1" x14ac:dyDescent="0.25">
      <c r="B120">
        <v>1.1499999999999999</v>
      </c>
      <c r="C120" s="121">
        <f t="shared" si="2"/>
        <v>-1.0390239203335065E-3</v>
      </c>
      <c r="D120" s="121">
        <f t="shared" si="3"/>
        <v>-4.4455458298608606E-4</v>
      </c>
    </row>
    <row r="121" spans="2:4" ht="13.5" thickBot="1" x14ac:dyDescent="0.25">
      <c r="B121">
        <v>1.1599999999999999</v>
      </c>
      <c r="C121" s="121">
        <f t="shared" si="2"/>
        <v>-1.0266345568574616E-3</v>
      </c>
      <c r="D121" s="121">
        <f t="shared" si="3"/>
        <v>-4.3925702450142029E-4</v>
      </c>
    </row>
    <row r="122" spans="2:4" ht="13.5" thickBot="1" x14ac:dyDescent="0.25">
      <c r="B122">
        <v>1.17</v>
      </c>
      <c r="C122" s="121">
        <f t="shared" si="2"/>
        <v>-1.0093102563270449E-3</v>
      </c>
      <c r="D122" s="121">
        <f t="shared" si="3"/>
        <v>-4.3185173903957939E-4</v>
      </c>
    </row>
    <row r="123" spans="2:4" ht="13.5" thickBot="1" x14ac:dyDescent="0.25">
      <c r="B123">
        <v>1.18</v>
      </c>
      <c r="C123" s="121">
        <f t="shared" si="2"/>
        <v>-9.8745100990195022E-4</v>
      </c>
      <c r="D123" s="121">
        <f t="shared" si="3"/>
        <v>-4.2250885721463249E-4</v>
      </c>
    </row>
    <row r="124" spans="2:4" ht="13.5" thickBot="1" x14ac:dyDescent="0.25">
      <c r="B124">
        <v>1.19</v>
      </c>
      <c r="C124" s="121">
        <f t="shared" si="2"/>
        <v>-9.6145733464713464E-4</v>
      </c>
      <c r="D124" s="121">
        <f t="shared" si="3"/>
        <v>-4.1139885656834836E-4</v>
      </c>
    </row>
    <row r="125" spans="2:4" ht="13.5" thickBot="1" x14ac:dyDescent="0.25">
      <c r="B125">
        <v>1.2</v>
      </c>
      <c r="C125" s="121">
        <f t="shared" si="2"/>
        <v>-9.3172801941371949E-4</v>
      </c>
      <c r="D125" s="121">
        <f t="shared" si="3"/>
        <v>-3.9869158953306159E-4</v>
      </c>
    </row>
    <row r="126" spans="2:4" ht="13.5" thickBot="1" x14ac:dyDescent="0.25">
      <c r="B126">
        <v>1.21</v>
      </c>
      <c r="C126" s="121">
        <f t="shared" si="2"/>
        <v>-8.9865801936888181E-4</v>
      </c>
      <c r="D126" s="121">
        <f t="shared" si="3"/>
        <v>-3.8455537483211925E-4</v>
      </c>
    </row>
    <row r="127" spans="2:4" ht="13.5" thickBot="1" x14ac:dyDescent="0.25">
      <c r="B127">
        <v>1.22</v>
      </c>
      <c r="C127" s="121">
        <f t="shared" si="2"/>
        <v>-8.6263650161989261E-4</v>
      </c>
      <c r="D127" s="121">
        <f t="shared" si="3"/>
        <v>-3.6915615350330733E-4</v>
      </c>
    </row>
    <row r="128" spans="2:4" ht="13.5" thickBot="1" x14ac:dyDescent="0.25">
      <c r="B128">
        <v>1.23</v>
      </c>
      <c r="C128" s="121">
        <f t="shared" si="2"/>
        <v>-8.2404504340316423E-4</v>
      </c>
      <c r="D128" s="121">
        <f t="shared" si="3"/>
        <v>-3.5265671028382527E-4</v>
      </c>
    </row>
    <row r="129" spans="2:4" ht="13.5" thickBot="1" x14ac:dyDescent="0.25">
      <c r="B129">
        <v>1.24</v>
      </c>
      <c r="C129" s="121">
        <f t="shared" si="2"/>
        <v>-7.832559833848325E-4</v>
      </c>
      <c r="D129" s="121">
        <f t="shared" si="3"/>
        <v>-3.352159606747859E-4</v>
      </c>
    </row>
    <row r="130" spans="2:4" ht="13.5" thickBot="1" x14ac:dyDescent="0.25">
      <c r="B130">
        <v>1.25</v>
      </c>
      <c r="C130" s="121">
        <f t="shared" si="2"/>
        <v>-7.4063092574725494E-4</v>
      </c>
      <c r="D130" s="121">
        <f t="shared" si="3"/>
        <v>-3.1698830360923279E-4</v>
      </c>
    </row>
    <row r="131" spans="2:4" ht="13.5" thickBot="1" x14ac:dyDescent="0.25">
      <c r="B131">
        <v>1.26</v>
      </c>
      <c r="C131" s="121">
        <f t="shared" si="2"/>
        <v>-6.9651939591768865E-4</v>
      </c>
      <c r="D131" s="121">
        <f t="shared" si="3"/>
        <v>-2.9812303928044616E-4</v>
      </c>
    </row>
    <row r="132" spans="2:4" ht="13.5" thickBot="1" x14ac:dyDescent="0.25">
      <c r="B132">
        <v>1.27</v>
      </c>
      <c r="C132" s="121">
        <f t="shared" si="2"/>
        <v>-6.5125764603263638E-4</v>
      </c>
      <c r="D132" s="121">
        <f t="shared" si="3"/>
        <v>-2.7876385134696001E-4</v>
      </c>
    </row>
    <row r="133" spans="2:4" ht="13.5" thickBot="1" x14ac:dyDescent="0.25">
      <c r="B133">
        <v>1.28</v>
      </c>
      <c r="C133" s="121">
        <f t="shared" si="2"/>
        <v>-6.0516760752491307E-4</v>
      </c>
      <c r="D133" s="121">
        <f t="shared" si="3"/>
        <v>-2.590483524171488E-4</v>
      </c>
    </row>
    <row r="134" spans="2:4" ht="13.5" thickBot="1" x14ac:dyDescent="0.25">
      <c r="B134">
        <v>1.29</v>
      </c>
      <c r="C134" s="121">
        <f t="shared" ref="C134:C157" si="4">0.6059*EXP(-3.175*B134)*(0.0245*COS(6.87*B134)-0.065*SIN(6.87*B134))+0.3645*EXP(-12.45*B134)*(0.46*COS(7*B134)+0.702*SIN(7*B134))</f>
        <v>-5.5855598757099142E-4</v>
      </c>
      <c r="D134" s="121">
        <f t="shared" ref="D134:D159" si="5">0.25775*EXP(-3.17*B134)*(0.0245*COS(6.87*B134)-0.065*SIN(6.87*B134))-0.42845*EXP(-12.45*B134)*(0.46*COS(7.9*B134)+0.702*SIN(7.9*B134))</f>
        <v>-2.391076914293486E-4</v>
      </c>
    </row>
    <row r="135" spans="2:4" ht="13.5" thickBot="1" x14ac:dyDescent="0.25">
      <c r="B135">
        <v>1.3</v>
      </c>
      <c r="C135" s="121">
        <f t="shared" si="4"/>
        <v>-5.1171350554380887E-4</v>
      </c>
      <c r="D135" s="121">
        <f t="shared" si="5"/>
        <v>-2.1906622128295452E-4</v>
      </c>
    </row>
    <row r="136" spans="2:4" ht="13.5" thickBot="1" x14ac:dyDescent="0.25">
      <c r="B136">
        <v>1.31</v>
      </c>
      <c r="C136" s="121">
        <f t="shared" si="4"/>
        <v>-4.6491426508089281E-4</v>
      </c>
      <c r="D136" s="121">
        <f t="shared" si="5"/>
        <v>-1.9904122484141668E-4</v>
      </c>
    </row>
    <row r="137" spans="2:4" ht="13.5" thickBot="1" x14ac:dyDescent="0.25">
      <c r="B137">
        <v>1.32</v>
      </c>
      <c r="C137" s="121">
        <f t="shared" si="4"/>
        <v>-4.1841525689892981E-4</v>
      </c>
      <c r="D137" s="121">
        <f t="shared" si="5"/>
        <v>-1.7914269721910613E-4</v>
      </c>
    </row>
    <row r="138" spans="2:4" ht="13.5" thickBot="1" x14ac:dyDescent="0.25">
      <c r="B138">
        <v>1.33</v>
      </c>
      <c r="C138" s="121">
        <f t="shared" si="4"/>
        <v>-3.7245598706300072E-4</v>
      </c>
      <c r="D138" s="121">
        <f t="shared" si="5"/>
        <v>-1.5947318208004203E-4</v>
      </c>
    </row>
    <row r="139" spans="2:4" ht="13.5" thickBot="1" x14ac:dyDescent="0.25">
      <c r="B139">
        <v>1.34</v>
      </c>
      <c r="C139" s="121">
        <f t="shared" si="4"/>
        <v>-3.2725822505069165E-4</v>
      </c>
      <c r="D139" s="121">
        <f t="shared" si="5"/>
        <v>-1.4012765951685243E-4</v>
      </c>
    </row>
    <row r="140" spans="2:4" ht="13.5" thickBot="1" x14ac:dyDescent="0.25">
      <c r="B140">
        <v>1.35</v>
      </c>
      <c r="C140" s="121">
        <f t="shared" si="4"/>
        <v>-2.8302586563683533E-4</v>
      </c>
      <c r="D140" s="121">
        <f t="shared" si="5"/>
        <v>-1.2119348294235954E-4</v>
      </c>
    </row>
    <row r="141" spans="2:4" ht="13.5" thickBot="1" x14ac:dyDescent="0.25">
      <c r="B141">
        <v>1.36</v>
      </c>
      <c r="C141" s="121">
        <f t="shared" si="4"/>
        <v>-2.3994489836230254E-4</v>
      </c>
      <c r="D141" s="121">
        <f t="shared" si="5"/>
        <v>-1.0275036231304999E-4</v>
      </c>
    </row>
    <row r="142" spans="2:4" ht="13.5" thickBot="1" x14ac:dyDescent="0.25">
      <c r="B142">
        <v>1.37</v>
      </c>
      <c r="C142" s="121">
        <f t="shared" si="4"/>
        <v>-1.9818347813832518E-4</v>
      </c>
      <c r="D142" s="121">
        <f t="shared" si="5"/>
        <v>-8.4870390912542956E-5</v>
      </c>
    </row>
    <row r="143" spans="2:4" ht="13.5" thickBot="1" x14ac:dyDescent="0.25">
      <c r="B143">
        <v>1.38</v>
      </c>
      <c r="C143" s="121">
        <f t="shared" si="4"/>
        <v>-1.5789209037445643E-4</v>
      </c>
      <c r="D143" s="121">
        <f t="shared" si="5"/>
        <v>-6.7618112853147036E-5</v>
      </c>
    </row>
    <row r="144" spans="2:4" ht="13.5" thickBot="1" x14ac:dyDescent="0.25">
      <c r="B144">
        <v>1.39</v>
      </c>
      <c r="C144" s="121">
        <f t="shared" si="4"/>
        <v>-1.1920380390135658E-4</v>
      </c>
      <c r="D144" s="121">
        <f t="shared" si="5"/>
        <v>-5.1050628403664487E-5</v>
      </c>
    </row>
    <row r="145" spans="2:4" ht="13.5" thickBot="1" x14ac:dyDescent="0.25">
      <c r="B145">
        <v>1.4</v>
      </c>
      <c r="C145" s="121">
        <f t="shared" si="4"/>
        <v>-8.2234604887055442E-5</v>
      </c>
      <c r="D145" s="121">
        <f t="shared" si="5"/>
        <v>-3.5217734220845978E-5</v>
      </c>
    </row>
    <row r="146" spans="2:4" ht="13.5" thickBot="1" x14ac:dyDescent="0.25">
      <c r="B146">
        <v>1.41</v>
      </c>
      <c r="C146" s="121">
        <f t="shared" si="4"/>
        <v>-4.7083804914781802E-5</v>
      </c>
      <c r="D146" s="121">
        <f t="shared" si="5"/>
        <v>-2.0162095549201517E-5</v>
      </c>
    </row>
    <row r="147" spans="2:4" ht="13.5" thickBot="1" x14ac:dyDescent="0.25">
      <c r="B147">
        <v>1.42</v>
      </c>
      <c r="C147" s="121">
        <f t="shared" si="4"/>
        <v>-1.383451639958722E-5</v>
      </c>
      <c r="D147" s="121">
        <f t="shared" si="5"/>
        <v>-5.9194474582316267E-6</v>
      </c>
    </row>
    <row r="148" spans="2:4" ht="13.5" thickBot="1" x14ac:dyDescent="0.25">
      <c r="B148">
        <v>1.43</v>
      </c>
      <c r="C148" s="121">
        <f t="shared" si="4"/>
        <v>1.7445811432697215E-5</v>
      </c>
      <c r="D148" s="121">
        <f t="shared" si="5"/>
        <v>7.4811777935647464E-6</v>
      </c>
    </row>
    <row r="149" spans="2:4" ht="13.5" thickBot="1" x14ac:dyDescent="0.25">
      <c r="B149">
        <v>1.44</v>
      </c>
      <c r="C149" s="121">
        <f t="shared" si="4"/>
        <v>4.6704802699694005E-5</v>
      </c>
      <c r="D149" s="121">
        <f t="shared" si="5"/>
        <v>2.0017200143435606E-5</v>
      </c>
    </row>
    <row r="150" spans="2:4" ht="13.5" thickBot="1" x14ac:dyDescent="0.25">
      <c r="B150">
        <v>1.45</v>
      </c>
      <c r="C150" s="121">
        <f t="shared" si="4"/>
        <v>7.3904517732345686E-5</v>
      </c>
      <c r="D150" s="121">
        <f t="shared" si="5"/>
        <v>3.167222068455527E-5</v>
      </c>
    </row>
    <row r="151" spans="2:4" ht="13.5" thickBot="1" x14ac:dyDescent="0.25">
      <c r="B151">
        <v>1.46</v>
      </c>
      <c r="C151" s="121">
        <f t="shared" si="4"/>
        <v>9.9020775100297948E-5</v>
      </c>
      <c r="D151" s="121">
        <f t="shared" si="5"/>
        <v>4.2435732966882233E-5</v>
      </c>
    </row>
    <row r="152" spans="2:4" ht="13.5" thickBot="1" x14ac:dyDescent="0.25">
      <c r="B152">
        <v>1.47</v>
      </c>
      <c r="C152" s="121">
        <f t="shared" si="4"/>
        <v>1.2204243906318682E-4</v>
      </c>
      <c r="D152" s="121">
        <f t="shared" si="5"/>
        <v>5.2302819331017435E-5</v>
      </c>
    </row>
    <row r="153" spans="2:4" ht="13.5" thickBot="1" x14ac:dyDescent="0.25">
      <c r="B153">
        <v>1.48</v>
      </c>
      <c r="C153" s="121">
        <f t="shared" si="4"/>
        <v>1.429706785244181E-4</v>
      </c>
      <c r="D153" s="121">
        <f t="shared" si="5"/>
        <v>6.1273834884102425E-5</v>
      </c>
    </row>
    <row r="154" spans="2:4" ht="13.5" thickBot="1" x14ac:dyDescent="0.25">
      <c r="B154">
        <v>1.49</v>
      </c>
      <c r="C154" s="121">
        <f t="shared" si="4"/>
        <v>1.6181820334841814E-4</v>
      </c>
      <c r="D154" s="121">
        <f t="shared" si="5"/>
        <v>6.9354081634228064E-5</v>
      </c>
    </row>
    <row r="155" spans="2:4" ht="13.5" thickBot="1" x14ac:dyDescent="0.25">
      <c r="B155">
        <v>1.5</v>
      </c>
      <c r="C155" s="121">
        <f t="shared" si="4"/>
        <v>1.7860848366753085E-4</v>
      </c>
      <c r="D155" s="121">
        <f t="shared" si="5"/>
        <v>7.6553475199082866E-5</v>
      </c>
    </row>
    <row r="156" spans="2:4" ht="13.5" thickBot="1" x14ac:dyDescent="0.25">
      <c r="C156" s="121">
        <f t="shared" si="4"/>
        <v>0.18251455000000003</v>
      </c>
      <c r="D156" s="121">
        <f t="shared" si="5"/>
        <v>-0.19077212500000001</v>
      </c>
    </row>
    <row r="157" spans="2:4" ht="13.5" thickBot="1" x14ac:dyDescent="0.25">
      <c r="C157" s="121">
        <f t="shared" si="4"/>
        <v>0.18251455000000003</v>
      </c>
      <c r="D157" s="121">
        <f t="shared" si="5"/>
        <v>-0.19077212500000001</v>
      </c>
    </row>
    <row r="158" spans="2:4" ht="13.5" thickBot="1" x14ac:dyDescent="0.25">
      <c r="D158" s="121">
        <f t="shared" si="5"/>
        <v>-0.19077212500000001</v>
      </c>
    </row>
    <row r="159" spans="2:4" ht="13.5" thickBot="1" x14ac:dyDescent="0.25">
      <c r="D159" s="121">
        <f t="shared" si="5"/>
        <v>-0.19077212500000001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1"/>
  <dimension ref="A1"/>
  <sheetViews>
    <sheetView zoomScale="70" zoomScaleNormal="70" workbookViewId="0">
      <selection activeCell="AA28" sqref="AA28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Z62"/>
  <sheetViews>
    <sheetView zoomScale="80" zoomScaleNormal="80" workbookViewId="0">
      <selection activeCell="AH70" sqref="AH70"/>
    </sheetView>
  </sheetViews>
  <sheetFormatPr defaultRowHeight="12.75" x14ac:dyDescent="0.2"/>
  <sheetData>
    <row r="1" spans="3:13" x14ac:dyDescent="0.2">
      <c r="C1" s="21" t="s">
        <v>189</v>
      </c>
      <c r="M1" s="21" t="s">
        <v>190</v>
      </c>
    </row>
    <row r="33" spans="4:26" x14ac:dyDescent="0.2">
      <c r="D33" s="21" t="s">
        <v>191</v>
      </c>
    </row>
    <row r="34" spans="4:26" x14ac:dyDescent="0.2">
      <c r="N34" s="21" t="s">
        <v>192</v>
      </c>
      <c r="P34" s="21" t="s">
        <v>194</v>
      </c>
      <c r="X34" s="21" t="s">
        <v>193</v>
      </c>
      <c r="Z34" s="69" t="s">
        <v>194</v>
      </c>
    </row>
    <row r="62" spans="24:24" x14ac:dyDescent="0.2">
      <c r="X62" s="21" t="s">
        <v>195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0"/>
  <sheetViews>
    <sheetView topLeftCell="F1" zoomScale="130" zoomScaleNormal="130" workbookViewId="0">
      <selection activeCell="Q9" sqref="Q9"/>
    </sheetView>
  </sheetViews>
  <sheetFormatPr defaultRowHeight="12.75" x14ac:dyDescent="0.2"/>
  <sheetData>
    <row r="1" spans="2:21" ht="18" x14ac:dyDescent="0.25">
      <c r="H1" s="18" t="s">
        <v>256</v>
      </c>
    </row>
    <row r="3" spans="2:21" ht="12" customHeight="1" x14ac:dyDescent="0.2"/>
    <row r="5" spans="2:21" x14ac:dyDescent="0.2">
      <c r="R5" s="4"/>
    </row>
    <row r="11" spans="2:21" x14ac:dyDescent="0.2">
      <c r="P11" s="4" t="s">
        <v>395</v>
      </c>
      <c r="Q11" s="4" t="s">
        <v>394</v>
      </c>
    </row>
    <row r="12" spans="2:21" ht="15" x14ac:dyDescent="0.25">
      <c r="C12" s="126" t="s">
        <v>217</v>
      </c>
      <c r="D12" s="125">
        <v>250</v>
      </c>
      <c r="E12" s="125">
        <v>-250</v>
      </c>
      <c r="F12" s="4"/>
      <c r="G12" s="126" t="s">
        <v>218</v>
      </c>
      <c r="H12" s="125">
        <v>3</v>
      </c>
      <c r="I12" s="125">
        <v>0</v>
      </c>
      <c r="J12" s="4"/>
      <c r="K12" s="126" t="s">
        <v>25</v>
      </c>
      <c r="L12" s="125">
        <v>25</v>
      </c>
      <c r="M12" s="125">
        <v>-25</v>
      </c>
      <c r="O12" s="4" t="s">
        <v>219</v>
      </c>
      <c r="P12" s="125">
        <v>0.1</v>
      </c>
      <c r="Q12" s="125">
        <v>0</v>
      </c>
      <c r="R12" s="4" t="s">
        <v>220</v>
      </c>
      <c r="S12" s="78">
        <v>0</v>
      </c>
      <c r="T12" s="79" t="s">
        <v>221</v>
      </c>
      <c r="U12" s="78">
        <v>0</v>
      </c>
    </row>
    <row r="13" spans="2:21" ht="15" x14ac:dyDescent="0.25">
      <c r="C13" s="4"/>
      <c r="D13" s="125">
        <v>-250</v>
      </c>
      <c r="E13" s="125">
        <v>750</v>
      </c>
      <c r="F13" s="4"/>
      <c r="G13" s="4"/>
      <c r="H13" s="125">
        <v>0</v>
      </c>
      <c r="I13" s="125">
        <v>5</v>
      </c>
      <c r="J13" s="4"/>
      <c r="K13" s="4"/>
      <c r="L13" s="125">
        <v>-25</v>
      </c>
      <c r="M13" s="125">
        <v>75</v>
      </c>
      <c r="O13" s="4" t="s">
        <v>222</v>
      </c>
      <c r="P13" s="125">
        <v>-0.2</v>
      </c>
      <c r="Q13" s="125">
        <v>0.1</v>
      </c>
      <c r="R13" s="4" t="s">
        <v>223</v>
      </c>
      <c r="S13" s="78">
        <v>0</v>
      </c>
      <c r="T13" s="79" t="s">
        <v>184</v>
      </c>
      <c r="U13" s="78">
        <v>0</v>
      </c>
    </row>
    <row r="16" spans="2:21" ht="21.75" x14ac:dyDescent="0.35">
      <c r="B16" t="s">
        <v>224</v>
      </c>
      <c r="D16" s="80" t="s">
        <v>39</v>
      </c>
      <c r="E16" s="80" t="s">
        <v>40</v>
      </c>
      <c r="F16" s="80" t="s">
        <v>41</v>
      </c>
      <c r="G16" s="81" t="s">
        <v>225</v>
      </c>
      <c r="H16" s="127" t="s">
        <v>323</v>
      </c>
      <c r="I16" s="81" t="s">
        <v>227</v>
      </c>
      <c r="J16" s="127" t="s">
        <v>324</v>
      </c>
    </row>
    <row r="17" spans="2:21" ht="15" x14ac:dyDescent="0.25">
      <c r="B17">
        <f>SQRT(E17^2-4*D17*F17)</f>
        <v>2179.4494717703369</v>
      </c>
      <c r="D17">
        <f>H12*I13</f>
        <v>15</v>
      </c>
      <c r="E17">
        <f>-(D12*I13+E13*H12)</f>
        <v>-3500</v>
      </c>
      <c r="F17">
        <f>D12*E13-E12^2</f>
        <v>125000</v>
      </c>
      <c r="G17">
        <f>-E17/2/D17-B17/2/D17</f>
        <v>44.018350940988768</v>
      </c>
      <c r="H17" s="82">
        <f>SQRT(G17)</f>
        <v>6.6346326907364483</v>
      </c>
      <c r="I17">
        <f>-E17/2/D17+B17/2/D17</f>
        <v>189.31498239234458</v>
      </c>
      <c r="J17" s="82">
        <f>SQRT(I17)</f>
        <v>13.759178114711089</v>
      </c>
      <c r="P17" t="s">
        <v>229</v>
      </c>
    </row>
    <row r="18" spans="2:21" x14ac:dyDescent="0.2">
      <c r="P18">
        <f>N21*P22-N22*P21</f>
        <v>-0.2581988897471611</v>
      </c>
    </row>
    <row r="20" spans="2:21" ht="15" x14ac:dyDescent="0.25">
      <c r="D20" s="83" t="s">
        <v>230</v>
      </c>
      <c r="F20" s="83" t="s">
        <v>231</v>
      </c>
      <c r="H20" t="s">
        <v>232</v>
      </c>
      <c r="J20" t="s">
        <v>233</v>
      </c>
      <c r="M20" s="4" t="s">
        <v>234</v>
      </c>
      <c r="N20" s="84" t="s">
        <v>235</v>
      </c>
      <c r="O20" s="4"/>
      <c r="P20" s="84" t="s">
        <v>236</v>
      </c>
      <c r="Q20" s="85" t="s">
        <v>237</v>
      </c>
      <c r="S20" s="77" t="s">
        <v>238</v>
      </c>
    </row>
    <row r="21" spans="2:21" ht="15" x14ac:dyDescent="0.25">
      <c r="D21">
        <v>1</v>
      </c>
      <c r="F21">
        <v>1</v>
      </c>
      <c r="H21">
        <f>(D21*F22-D22*F21)</f>
        <v>-1.74355957741627</v>
      </c>
      <c r="J21">
        <f>F22</f>
        <v>-1.2717797887081352</v>
      </c>
      <c r="K21">
        <f>-D22</f>
        <v>-0.47177978870813481</v>
      </c>
      <c r="M21" s="4">
        <f>SQRT(D28)</f>
        <v>2.0280238768731156</v>
      </c>
      <c r="N21" s="128">
        <f>1/M21</f>
        <v>0.49309084148547505</v>
      </c>
      <c r="O21" s="4"/>
      <c r="P21" s="128">
        <f>1/Q21</f>
        <v>0.30032441688360828</v>
      </c>
      <c r="Q21" s="4">
        <f>SQRT(D30)</f>
        <v>3.3297325950941685</v>
      </c>
      <c r="S21" s="129">
        <f>P22</f>
        <v>-0.38194652344812929</v>
      </c>
      <c r="T21" s="129">
        <f>-N22</f>
        <v>-0.23263029300993382</v>
      </c>
    </row>
    <row r="22" spans="2:21" ht="15" x14ac:dyDescent="0.25">
      <c r="D22">
        <f>(D12-G17*H12)/(-E12)</f>
        <v>0.47177978870813481</v>
      </c>
      <c r="F22">
        <f>(D12-I17*H12)/(-E12)</f>
        <v>-1.2717797887081352</v>
      </c>
      <c r="J22">
        <f>-F21</f>
        <v>-1</v>
      </c>
      <c r="K22">
        <f>D21</f>
        <v>1</v>
      </c>
      <c r="M22" s="4"/>
      <c r="N22" s="128">
        <f>D22/M21</f>
        <v>0.23263029300993382</v>
      </c>
      <c r="O22" s="4"/>
      <c r="P22" s="128">
        <f>F22/Q21</f>
        <v>-0.38194652344812929</v>
      </c>
      <c r="Q22" s="4"/>
      <c r="S22" s="129">
        <f>-P21</f>
        <v>-0.30032441688360828</v>
      </c>
      <c r="T22" s="129">
        <f>N21</f>
        <v>0.49309084148547505</v>
      </c>
    </row>
    <row r="23" spans="2:21" x14ac:dyDescent="0.2">
      <c r="M23" s="4"/>
      <c r="N23" s="4"/>
      <c r="O23" s="4"/>
      <c r="P23" s="4"/>
      <c r="Q23" s="4"/>
    </row>
    <row r="24" spans="2:21" ht="17.25" x14ac:dyDescent="0.25">
      <c r="D24" s="83" t="s">
        <v>239</v>
      </c>
      <c r="E24">
        <f>J21/H21</f>
        <v>0.7294157338705618</v>
      </c>
      <c r="F24">
        <f>K21/H21</f>
        <v>0.2705842661294382</v>
      </c>
      <c r="M24" s="4"/>
      <c r="N24" s="4"/>
      <c r="O24" s="84" t="s">
        <v>240</v>
      </c>
      <c r="P24" s="130">
        <f>S21/P18</f>
        <v>1.4792725244564255</v>
      </c>
      <c r="Q24" s="130">
        <f>T21/P18</f>
        <v>0.90097325065082545</v>
      </c>
    </row>
    <row r="25" spans="2:21" ht="15" x14ac:dyDescent="0.25">
      <c r="E25">
        <f>J22/H21</f>
        <v>0.57353933467640428</v>
      </c>
      <c r="F25">
        <f>K22/H21</f>
        <v>-0.57353933467640428</v>
      </c>
      <c r="M25" s="4"/>
      <c r="N25" s="4"/>
      <c r="O25" s="4"/>
      <c r="P25" s="130">
        <f>S22/P18</f>
        <v>1.1631514650496686</v>
      </c>
      <c r="Q25" s="130">
        <f>T22/P18</f>
        <v>-1.9097326172406464</v>
      </c>
      <c r="S25">
        <v>1</v>
      </c>
      <c r="T25">
        <f>N21</f>
        <v>0.49309084148547505</v>
      </c>
      <c r="U25">
        <f>P21</f>
        <v>0.30032441688360828</v>
      </c>
    </row>
    <row r="26" spans="2:21" x14ac:dyDescent="0.2">
      <c r="S26">
        <v>2</v>
      </c>
      <c r="T26">
        <f>N22</f>
        <v>0.23263029300993382</v>
      </c>
      <c r="U26">
        <f>P22</f>
        <v>-0.38194652344812929</v>
      </c>
    </row>
    <row r="27" spans="2:21" x14ac:dyDescent="0.2">
      <c r="B27" t="s">
        <v>241</v>
      </c>
      <c r="D27" t="s">
        <v>242</v>
      </c>
      <c r="E27" t="s">
        <v>243</v>
      </c>
      <c r="F27" t="s">
        <v>244</v>
      </c>
      <c r="G27" t="s">
        <v>245</v>
      </c>
      <c r="K27" s="2"/>
      <c r="M27" s="2"/>
    </row>
    <row r="28" spans="2:21" x14ac:dyDescent="0.2">
      <c r="B28">
        <f>(P24*P12+Q24*P13)</f>
        <v>-3.2267397684522553E-2</v>
      </c>
      <c r="D28">
        <f>(D21*H12*D21+D22*I13*D22)</f>
        <v>4.1128808451674619</v>
      </c>
      <c r="E28">
        <f>(D21*D12+D22*D13)*D21+(D21*E12+E13*D22)*D22</f>
        <v>181.04223242105184</v>
      </c>
    </row>
    <row r="29" spans="2:21" x14ac:dyDescent="0.2">
      <c r="B29" t="s">
        <v>247</v>
      </c>
      <c r="D29" t="s">
        <v>248</v>
      </c>
      <c r="E29" t="s">
        <v>249</v>
      </c>
      <c r="F29" t="s">
        <v>250</v>
      </c>
      <c r="G29" t="s">
        <v>251</v>
      </c>
      <c r="K29" s="2"/>
      <c r="M29" s="2"/>
    </row>
    <row r="30" spans="2:21" x14ac:dyDescent="0.2">
      <c r="B30">
        <f>P25*P12+Q25*P13</f>
        <v>0.49826166995309618</v>
      </c>
      <c r="D30">
        <f>(F21*H12*F21+F22*I13*F22)</f>
        <v>11.087119154832546</v>
      </c>
      <c r="E30">
        <f>(F21*D12+F22*D13)*F21+(F21*E12+F22*E13)*F22</f>
        <v>2098.9577675789496</v>
      </c>
    </row>
    <row r="32" spans="2:21" x14ac:dyDescent="0.2">
      <c r="B32" s="4" t="s">
        <v>35</v>
      </c>
      <c r="D32" s="4" t="s">
        <v>46</v>
      </c>
      <c r="E32" s="4" t="s">
        <v>49</v>
      </c>
    </row>
    <row r="33" spans="1:16" ht="15" x14ac:dyDescent="0.25">
      <c r="A33" t="s">
        <v>392</v>
      </c>
      <c r="B33" s="77" t="s">
        <v>241</v>
      </c>
      <c r="C33" s="77"/>
      <c r="D33" s="77" t="s">
        <v>242</v>
      </c>
      <c r="E33" s="77" t="s">
        <v>243</v>
      </c>
      <c r="I33" t="s">
        <v>246</v>
      </c>
      <c r="J33" s="1">
        <v>0.01</v>
      </c>
      <c r="K33" s="2" t="s">
        <v>360</v>
      </c>
      <c r="L33" s="1">
        <v>0</v>
      </c>
      <c r="M33" s="2" t="s">
        <v>314</v>
      </c>
    </row>
    <row r="34" spans="1:16" ht="15.75" x14ac:dyDescent="0.25">
      <c r="A34" s="21">
        <f>P24*Q12+Q24*Q13</f>
        <v>9.0097325065082556E-2</v>
      </c>
      <c r="B34" s="86">
        <f>P24*P12+Q24*P13</f>
        <v>-3.2267397684522553E-2</v>
      </c>
      <c r="C34" s="77"/>
      <c r="D34" s="86">
        <f>N21*H12*N21+N22*I13*N22</f>
        <v>0.99999999999999989</v>
      </c>
      <c r="E34" s="86">
        <f>G17</f>
        <v>44.018350940988768</v>
      </c>
      <c r="M34" s="90" t="s">
        <v>257</v>
      </c>
    </row>
    <row r="35" spans="1:16" ht="15" x14ac:dyDescent="0.25">
      <c r="A35" t="s">
        <v>393</v>
      </c>
      <c r="B35" s="77" t="s">
        <v>247</v>
      </c>
      <c r="C35" s="77"/>
      <c r="D35" s="77" t="s">
        <v>248</v>
      </c>
      <c r="E35" s="77" t="s">
        <v>249</v>
      </c>
      <c r="I35" t="s">
        <v>252</v>
      </c>
      <c r="J35" s="1">
        <v>0.44500000000000001</v>
      </c>
      <c r="K35" s="2" t="s">
        <v>361</v>
      </c>
      <c r="L35" s="1">
        <v>0</v>
      </c>
      <c r="M35" s="2" t="s">
        <v>315</v>
      </c>
    </row>
    <row r="36" spans="1:16" ht="15" x14ac:dyDescent="0.25">
      <c r="A36" s="21">
        <f>P25*Q12+Q25*Q13</f>
        <v>-0.19097326172406465</v>
      </c>
      <c r="B36" s="86">
        <f>P25*P12+Q25*P13</f>
        <v>0.49826166995309618</v>
      </c>
      <c r="C36" s="77"/>
      <c r="D36" s="86">
        <f>P21*H12*P21+P22*I13*P22</f>
        <v>0.99999999999999989</v>
      </c>
      <c r="E36" s="86">
        <f>I17</f>
        <v>189.31498239234458</v>
      </c>
    </row>
    <row r="38" spans="1:16" ht="18" x14ac:dyDescent="0.25">
      <c r="M38" s="18" t="s">
        <v>260</v>
      </c>
    </row>
    <row r="39" spans="1:16" ht="15" x14ac:dyDescent="0.25">
      <c r="D39" s="86" t="s">
        <v>186</v>
      </c>
      <c r="F39" s="82">
        <f>N21*J33</f>
        <v>4.9309084148547507E-3</v>
      </c>
      <c r="G39" s="98" t="s">
        <v>360</v>
      </c>
      <c r="H39" s="87"/>
      <c r="I39" s="82">
        <f>N21*L33</f>
        <v>0</v>
      </c>
      <c r="J39" s="98" t="s">
        <v>362</v>
      </c>
      <c r="K39" s="82"/>
      <c r="L39" s="21">
        <f>P21*J35</f>
        <v>0.13364436551320569</v>
      </c>
      <c r="M39" s="98" t="s">
        <v>361</v>
      </c>
      <c r="O39" s="82">
        <f>P21*L35</f>
        <v>0</v>
      </c>
      <c r="P39" s="98" t="s">
        <v>364</v>
      </c>
    </row>
    <row r="40" spans="1:16" ht="15" x14ac:dyDescent="0.25">
      <c r="D40" s="86" t="s">
        <v>187</v>
      </c>
      <c r="F40" s="82">
        <f>N22*J33</f>
        <v>2.3263029300993384E-3</v>
      </c>
      <c r="G40" s="98" t="s">
        <v>360</v>
      </c>
      <c r="H40" s="88"/>
      <c r="I40" s="82">
        <f>N22*L33</f>
        <v>0</v>
      </c>
      <c r="J40" s="98" t="s">
        <v>363</v>
      </c>
      <c r="K40" s="82"/>
      <c r="L40" s="21">
        <f>P22*J35</f>
        <v>-0.16996620293441753</v>
      </c>
      <c r="M40" s="98" t="s">
        <v>361</v>
      </c>
      <c r="O40" s="82">
        <f>P22*L35</f>
        <v>0</v>
      </c>
      <c r="P40" s="98" t="s">
        <v>364</v>
      </c>
    </row>
  </sheetData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33"/>
  <sheetViews>
    <sheetView zoomScale="80" zoomScaleNormal="80" workbookViewId="0">
      <selection activeCell="L8" sqref="L8"/>
    </sheetView>
  </sheetViews>
  <sheetFormatPr defaultRowHeight="12.75" x14ac:dyDescent="0.2"/>
  <sheetData>
    <row r="1" spans="2:21" ht="18" x14ac:dyDescent="0.25">
      <c r="H1" s="18" t="s">
        <v>269</v>
      </c>
    </row>
    <row r="2" spans="2:21" ht="15.75" x14ac:dyDescent="0.25">
      <c r="L2" s="108" t="s">
        <v>39</v>
      </c>
      <c r="M2" s="108" t="s">
        <v>40</v>
      </c>
    </row>
    <row r="3" spans="2:21" ht="21.75" x14ac:dyDescent="0.35">
      <c r="E3" s="33" t="s">
        <v>307</v>
      </c>
      <c r="I3" s="22" t="s">
        <v>310</v>
      </c>
      <c r="L3" s="125">
        <v>0</v>
      </c>
      <c r="M3" s="125">
        <v>0.1</v>
      </c>
    </row>
    <row r="5" spans="2:21" ht="15" x14ac:dyDescent="0.25">
      <c r="C5" s="126" t="s">
        <v>217</v>
      </c>
      <c r="D5" s="131">
        <f>Segéd_modál_1!D12</f>
        <v>250</v>
      </c>
      <c r="E5" s="131">
        <f>Segéd_modál_1!E12</f>
        <v>-250</v>
      </c>
      <c r="F5" s="4"/>
      <c r="G5" s="126" t="s">
        <v>218</v>
      </c>
      <c r="H5" s="131">
        <f>Segéd_modál_1!H12</f>
        <v>3</v>
      </c>
      <c r="I5" s="131">
        <f>Segéd_modál_1!I12</f>
        <v>0</v>
      </c>
      <c r="J5" s="4"/>
      <c r="K5" s="126" t="s">
        <v>25</v>
      </c>
      <c r="L5" s="131">
        <f>L3*H5+D5*M3</f>
        <v>25</v>
      </c>
      <c r="M5" s="131">
        <f>M3*E5</f>
        <v>-25</v>
      </c>
      <c r="O5" s="4" t="s">
        <v>219</v>
      </c>
      <c r="P5" s="78">
        <f>Segéd_modál_1!P12</f>
        <v>0.1</v>
      </c>
      <c r="Q5" s="4"/>
      <c r="R5" s="4" t="s">
        <v>220</v>
      </c>
      <c r="S5" s="78">
        <v>0</v>
      </c>
      <c r="T5" s="79" t="s">
        <v>221</v>
      </c>
      <c r="U5" s="78">
        <v>0</v>
      </c>
    </row>
    <row r="6" spans="2:21" ht="15" x14ac:dyDescent="0.25">
      <c r="C6" s="4"/>
      <c r="D6" s="131">
        <f>Segéd_modál_1!D13</f>
        <v>-250</v>
      </c>
      <c r="E6" s="131">
        <f>Segéd_modál_1!E13</f>
        <v>750</v>
      </c>
      <c r="F6" s="4"/>
      <c r="G6" s="4"/>
      <c r="H6" s="131">
        <f>Segéd_modál_1!H13</f>
        <v>0</v>
      </c>
      <c r="I6" s="131">
        <f>Segéd_modál_1!I13</f>
        <v>5</v>
      </c>
      <c r="J6" s="4"/>
      <c r="K6" s="4"/>
      <c r="L6" s="131">
        <f>M3*D6</f>
        <v>-25</v>
      </c>
      <c r="M6" s="131">
        <f>L3*I6+M3*E6</f>
        <v>75</v>
      </c>
      <c r="O6" s="4" t="s">
        <v>222</v>
      </c>
      <c r="P6" s="78">
        <f>Segéd_modál_1!P13</f>
        <v>-0.2</v>
      </c>
      <c r="Q6" s="4"/>
      <c r="R6" s="4" t="s">
        <v>223</v>
      </c>
      <c r="S6" s="78">
        <v>0</v>
      </c>
      <c r="T6" s="79" t="s">
        <v>184</v>
      </c>
      <c r="U6" s="78">
        <v>0</v>
      </c>
    </row>
    <row r="9" spans="2:21" ht="21.75" x14ac:dyDescent="0.35">
      <c r="B9" t="s">
        <v>224</v>
      </c>
      <c r="D9" s="80" t="s">
        <v>39</v>
      </c>
      <c r="E9" s="80" t="s">
        <v>40</v>
      </c>
      <c r="F9" s="80" t="s">
        <v>41</v>
      </c>
      <c r="G9" s="81" t="s">
        <v>225</v>
      </c>
      <c r="H9" s="81" t="s">
        <v>226</v>
      </c>
      <c r="I9" s="81" t="s">
        <v>227</v>
      </c>
      <c r="J9" s="81" t="s">
        <v>228</v>
      </c>
    </row>
    <row r="10" spans="2:21" ht="15" x14ac:dyDescent="0.25">
      <c r="B10">
        <f>Segéd_modál_1!B17</f>
        <v>2179.4494717703369</v>
      </c>
      <c r="D10">
        <f>Segéd_modál_1!D17</f>
        <v>15</v>
      </c>
      <c r="E10">
        <f>Segéd_modál_1!E17</f>
        <v>-3500</v>
      </c>
      <c r="F10">
        <f>Segéd_modál_1!F17</f>
        <v>125000</v>
      </c>
      <c r="G10">
        <f>Segéd_modál_1!G17</f>
        <v>44.018350940988768</v>
      </c>
      <c r="H10" s="69">
        <f>Segéd_modál_1!H17</f>
        <v>6.6346326907364483</v>
      </c>
      <c r="I10">
        <f>Segéd_modál_1!I17</f>
        <v>189.31498239234458</v>
      </c>
      <c r="J10" s="69">
        <f>Segéd_modál_1!J17</f>
        <v>13.759178114711089</v>
      </c>
      <c r="P10" t="s">
        <v>229</v>
      </c>
    </row>
    <row r="11" spans="2:21" x14ac:dyDescent="0.2">
      <c r="P11">
        <f>Segéd_modál_1!P18</f>
        <v>-0.2581988897471611</v>
      </c>
    </row>
    <row r="12" spans="2:21" ht="15.75" x14ac:dyDescent="0.3">
      <c r="C12" s="111" t="s">
        <v>316</v>
      </c>
      <c r="H12" s="135" t="s">
        <v>329</v>
      </c>
      <c r="I12" s="129">
        <f>Segéd_modál_1!L12</f>
        <v>25</v>
      </c>
      <c r="J12" s="129">
        <f>Segéd_modál_1!M12</f>
        <v>-25</v>
      </c>
    </row>
    <row r="13" spans="2:21" ht="15" x14ac:dyDescent="0.25">
      <c r="D13" s="83"/>
      <c r="F13" s="83"/>
      <c r="I13" s="129">
        <f>Segéd_modál_1!L13</f>
        <v>-25</v>
      </c>
      <c r="J13" s="129">
        <f>Segéd_modál_1!M13</f>
        <v>75</v>
      </c>
      <c r="M13" s="4"/>
      <c r="N13" s="133" t="s">
        <v>325</v>
      </c>
      <c r="O13" s="4"/>
      <c r="P13" s="133" t="s">
        <v>326</v>
      </c>
      <c r="Q13" s="85"/>
      <c r="S13" s="126" t="s">
        <v>327</v>
      </c>
    </row>
    <row r="14" spans="2:21" ht="15.75" x14ac:dyDescent="0.3">
      <c r="C14" s="109" t="s">
        <v>40</v>
      </c>
      <c r="D14" s="7" t="s">
        <v>312</v>
      </c>
      <c r="E14" s="7" t="s">
        <v>313</v>
      </c>
      <c r="F14" s="110" t="s">
        <v>311</v>
      </c>
      <c r="N14" s="132">
        <f>Segéd_modál_1!N21</f>
        <v>0.49309084148547505</v>
      </c>
      <c r="P14" s="132">
        <f>Segéd_modál_1!P21</f>
        <v>0.30032441688360828</v>
      </c>
      <c r="S14" s="129">
        <f>Segéd_modál_1!S21</f>
        <v>-0.38194652344812929</v>
      </c>
      <c r="T14" s="129">
        <f>Segéd_modál_1!T21</f>
        <v>-0.23263029300993382</v>
      </c>
    </row>
    <row r="15" spans="2:21" x14ac:dyDescent="0.2">
      <c r="C15" s="136">
        <f>J12/E5</f>
        <v>0.1</v>
      </c>
      <c r="D15" s="4">
        <f>(I12-C15*D5)/H5</f>
        <v>0</v>
      </c>
      <c r="E15" s="4">
        <f>(J13-C15*E6)/I6</f>
        <v>0</v>
      </c>
      <c r="F15" s="136">
        <f>(D15+E15)/4</f>
        <v>0</v>
      </c>
      <c r="N15" s="132">
        <f>Segéd_modál_1!N22</f>
        <v>0.23263029300993382</v>
      </c>
      <c r="P15" s="132">
        <f>Segéd_modál_1!P22</f>
        <v>-0.38194652344812929</v>
      </c>
      <c r="S15" s="129">
        <f>Segéd_modál_1!S22</f>
        <v>-0.30032441688360828</v>
      </c>
      <c r="T15" s="129">
        <f>Segéd_modál_1!T22</f>
        <v>0.49309084148547505</v>
      </c>
    </row>
    <row r="17" spans="2:17" ht="17.25" x14ac:dyDescent="0.25">
      <c r="D17" s="83"/>
      <c r="F17" s="2" t="s">
        <v>321</v>
      </c>
      <c r="O17" s="134" t="s">
        <v>328</v>
      </c>
      <c r="P17" s="129">
        <f>Segéd_modál_1!P24</f>
        <v>1.4792725244564255</v>
      </c>
      <c r="Q17" s="129">
        <f>Segéd_modál_1!Q24</f>
        <v>0.90097325065082545</v>
      </c>
    </row>
    <row r="18" spans="2:17" ht="15.75" x14ac:dyDescent="0.3">
      <c r="B18" s="113" t="s">
        <v>317</v>
      </c>
      <c r="C18" s="113"/>
      <c r="D18" s="113" t="s">
        <v>318</v>
      </c>
      <c r="F18" s="7" t="s">
        <v>319</v>
      </c>
      <c r="G18" s="7" t="s">
        <v>320</v>
      </c>
      <c r="P18" s="129">
        <f>Segéd_modál_1!P25</f>
        <v>1.1631514650496686</v>
      </c>
      <c r="Q18" s="129">
        <f>Segéd_modál_1!Q25</f>
        <v>-1.9097326172406464</v>
      </c>
    </row>
    <row r="19" spans="2:17" x14ac:dyDescent="0.2">
      <c r="F19" s="5">
        <f>B20/H10/2</f>
        <v>0.33173163453682247</v>
      </c>
      <c r="G19" s="5">
        <f>C20/2/J10</f>
        <v>0.68795890573555407</v>
      </c>
      <c r="I19" s="2"/>
      <c r="J19" s="2"/>
    </row>
    <row r="20" spans="2:17" x14ac:dyDescent="0.2">
      <c r="B20" s="63">
        <f>(N14*I12+N15*I13)*N14+(N14*J12+N15*J13)*N15</f>
        <v>4.4018350940988773</v>
      </c>
      <c r="C20" s="63">
        <f>(P14*I12+P15*I13)*P14+(P14*J12+P15*J13)*P15</f>
        <v>18.93149823923445</v>
      </c>
      <c r="F20" s="69" t="s">
        <v>330</v>
      </c>
      <c r="G20" s="69"/>
    </row>
    <row r="21" spans="2:17" x14ac:dyDescent="0.2">
      <c r="F21" s="112" t="s">
        <v>40</v>
      </c>
      <c r="G21" s="112" t="s">
        <v>39</v>
      </c>
    </row>
    <row r="22" spans="2:17" x14ac:dyDescent="0.2">
      <c r="F22" s="137">
        <f>2*(G19*J10-F19*H10)/(I10-G10)</f>
        <v>9.9999999999999936E-2</v>
      </c>
      <c r="G22" s="137">
        <f>2*F19*H10-F22*G10</f>
        <v>0</v>
      </c>
    </row>
    <row r="25" spans="2:17" x14ac:dyDescent="0.2">
      <c r="B25" s="4" t="s">
        <v>35</v>
      </c>
      <c r="D25" s="4" t="s">
        <v>46</v>
      </c>
      <c r="E25" s="4" t="s">
        <v>49</v>
      </c>
      <c r="F25" s="4" t="s">
        <v>47</v>
      </c>
    </row>
    <row r="26" spans="2:17" ht="15" x14ac:dyDescent="0.25">
      <c r="B26" s="77" t="s">
        <v>241</v>
      </c>
      <c r="C26" s="77"/>
      <c r="D26" s="77" t="s">
        <v>242</v>
      </c>
      <c r="E26" s="77" t="s">
        <v>243</v>
      </c>
      <c r="F26" s="77" t="s">
        <v>244</v>
      </c>
      <c r="G26" s="5" t="s">
        <v>308</v>
      </c>
      <c r="I26" t="s">
        <v>246</v>
      </c>
      <c r="J26" s="2" t="s">
        <v>365</v>
      </c>
      <c r="K26" s="2" t="s">
        <v>367</v>
      </c>
      <c r="M26" s="2" t="s">
        <v>366</v>
      </c>
    </row>
    <row r="27" spans="2:17" ht="15.75" x14ac:dyDescent="0.25">
      <c r="B27" s="86">
        <f>Segéd_modál_1!B34</f>
        <v>-3.2267397684522553E-2</v>
      </c>
      <c r="C27" s="77"/>
      <c r="D27" s="86">
        <v>0.99999999999999989</v>
      </c>
      <c r="E27" s="86">
        <f>Segéd_modál_1!E34</f>
        <v>44.018350940988768</v>
      </c>
      <c r="F27" s="21">
        <f>(N14*L5+N15*L6)*N14+(N14*M5+N15*M6)*N15</f>
        <v>4.4018350940988773</v>
      </c>
      <c r="G27" s="21">
        <f>F27/2/H10</f>
        <v>0.33173163453682247</v>
      </c>
      <c r="O27" s="90" t="s">
        <v>258</v>
      </c>
    </row>
    <row r="28" spans="2:17" ht="15" x14ac:dyDescent="0.25">
      <c r="B28" s="77" t="s">
        <v>247</v>
      </c>
      <c r="C28" s="77"/>
      <c r="D28" s="77" t="s">
        <v>248</v>
      </c>
      <c r="E28" s="77" t="s">
        <v>249</v>
      </c>
      <c r="F28" s="77" t="s">
        <v>250</v>
      </c>
      <c r="G28" s="5" t="s">
        <v>309</v>
      </c>
      <c r="I28" t="s">
        <v>252</v>
      </c>
      <c r="J28" s="2" t="s">
        <v>368</v>
      </c>
      <c r="K28" s="2" t="s">
        <v>369</v>
      </c>
      <c r="M28" s="2" t="s">
        <v>370</v>
      </c>
    </row>
    <row r="29" spans="2:17" ht="15" x14ac:dyDescent="0.25">
      <c r="B29" s="86">
        <f>Segéd_modál_1!B36</f>
        <v>0.49826166995309618</v>
      </c>
      <c r="C29" s="77"/>
      <c r="D29" s="86">
        <v>0.99999999999999989</v>
      </c>
      <c r="E29" s="86">
        <f>Segéd_modál_1!E36</f>
        <v>189.31498239234458</v>
      </c>
      <c r="F29" s="21">
        <f>(P14*L5+P15*L6)*P14+(P14*M5+P15*M6)*P15</f>
        <v>18.93149823923445</v>
      </c>
      <c r="G29" s="21">
        <f>F29/2/J10</f>
        <v>0.68795890573555407</v>
      </c>
    </row>
    <row r="32" spans="2:17" ht="18.75" x14ac:dyDescent="0.3">
      <c r="D32" s="2" t="s">
        <v>300</v>
      </c>
      <c r="F32" s="21">
        <f>N14</f>
        <v>0.49309084148547505</v>
      </c>
      <c r="G32" s="2" t="s">
        <v>282</v>
      </c>
      <c r="H32" s="21">
        <f>P14</f>
        <v>0.30032441688360828</v>
      </c>
      <c r="I32" s="2" t="s">
        <v>252</v>
      </c>
      <c r="J32" s="91" t="s">
        <v>261</v>
      </c>
    </row>
    <row r="33" spans="4:9" x14ac:dyDescent="0.2">
      <c r="D33" s="2" t="s">
        <v>301</v>
      </c>
      <c r="F33" s="21">
        <f>N15</f>
        <v>0.23263029300993382</v>
      </c>
      <c r="G33" s="2" t="s">
        <v>282</v>
      </c>
      <c r="H33" s="21">
        <f>P15</f>
        <v>-0.38194652344812929</v>
      </c>
      <c r="I33" s="2" t="s">
        <v>252</v>
      </c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A34"/>
  <sheetViews>
    <sheetView zoomScale="80" zoomScaleNormal="80" workbookViewId="0">
      <selection activeCell="H23" sqref="H23"/>
    </sheetView>
  </sheetViews>
  <sheetFormatPr defaultRowHeight="12.75" x14ac:dyDescent="0.2"/>
  <cols>
    <col min="5" max="5" width="10.7109375" customWidth="1"/>
    <col min="6" max="6" width="10" customWidth="1"/>
    <col min="25" max="25" width="10" customWidth="1"/>
    <col min="27" max="27" width="11.140625" customWidth="1"/>
  </cols>
  <sheetData>
    <row r="1" spans="2:27" ht="18" x14ac:dyDescent="0.25">
      <c r="H1" s="18" t="s">
        <v>270</v>
      </c>
    </row>
    <row r="5" spans="2:27" ht="15" x14ac:dyDescent="0.25">
      <c r="C5" s="126" t="s">
        <v>217</v>
      </c>
      <c r="D5" s="131">
        <f>Segéd_modál_1!D12</f>
        <v>250</v>
      </c>
      <c r="E5" s="131">
        <f>Segéd_modál_1!E12</f>
        <v>-250</v>
      </c>
      <c r="F5" s="4"/>
      <c r="G5" s="126" t="s">
        <v>218</v>
      </c>
      <c r="H5" s="131">
        <f>Segéd_modál_1!H12</f>
        <v>3</v>
      </c>
      <c r="I5" s="131">
        <v>0</v>
      </c>
      <c r="J5" s="4"/>
      <c r="K5" s="126" t="s">
        <v>25</v>
      </c>
      <c r="L5" s="131">
        <f>'Segéd Modál_2'!L5</f>
        <v>25</v>
      </c>
      <c r="M5" s="131">
        <f>'Segéd Modál_2'!M5</f>
        <v>-25</v>
      </c>
      <c r="O5" s="4" t="s">
        <v>219</v>
      </c>
      <c r="P5" s="78">
        <v>0</v>
      </c>
      <c r="Q5" s="4"/>
      <c r="R5" s="4" t="s">
        <v>220</v>
      </c>
      <c r="S5" s="125">
        <v>0</v>
      </c>
      <c r="T5" s="79" t="s">
        <v>221</v>
      </c>
      <c r="U5" s="125">
        <v>0</v>
      </c>
    </row>
    <row r="6" spans="2:27" ht="15" x14ac:dyDescent="0.25">
      <c r="C6" s="4"/>
      <c r="D6" s="131">
        <f>Segéd_modál_1!D13</f>
        <v>-250</v>
      </c>
      <c r="E6" s="131">
        <f>Segéd_modál_1!E13</f>
        <v>750</v>
      </c>
      <c r="F6" s="4"/>
      <c r="G6" s="4"/>
      <c r="H6" s="131">
        <v>0</v>
      </c>
      <c r="I6" s="131">
        <f>Segéd_modál_1!I13</f>
        <v>5</v>
      </c>
      <c r="J6" s="4"/>
      <c r="K6" s="4"/>
      <c r="L6" s="131">
        <f>'Segéd Modál_2'!L6</f>
        <v>-25</v>
      </c>
      <c r="M6" s="131">
        <f>'Segéd Modál_2'!M6</f>
        <v>75</v>
      </c>
      <c r="O6" s="4" t="s">
        <v>222</v>
      </c>
      <c r="P6" s="78">
        <v>0</v>
      </c>
      <c r="Q6" s="4"/>
      <c r="R6" s="4" t="s">
        <v>223</v>
      </c>
      <c r="S6" s="125">
        <v>10</v>
      </c>
      <c r="T6" s="79" t="s">
        <v>184</v>
      </c>
      <c r="U6" s="125">
        <v>10</v>
      </c>
    </row>
    <row r="8" spans="2:27" x14ac:dyDescent="0.2">
      <c r="Y8" s="7" t="s">
        <v>26</v>
      </c>
      <c r="Z8" s="4"/>
      <c r="AA8" s="7" t="s">
        <v>356</v>
      </c>
    </row>
    <row r="9" spans="2:27" ht="21.75" x14ac:dyDescent="0.35">
      <c r="B9" t="s">
        <v>224</v>
      </c>
      <c r="D9" s="80" t="s">
        <v>39</v>
      </c>
      <c r="E9" s="80" t="s">
        <v>40</v>
      </c>
      <c r="F9" s="80" t="s">
        <v>41</v>
      </c>
      <c r="G9" s="81" t="s">
        <v>225</v>
      </c>
      <c r="H9" s="127" t="s">
        <v>323</v>
      </c>
      <c r="I9" s="81" t="s">
        <v>227</v>
      </c>
      <c r="J9" s="101" t="s">
        <v>292</v>
      </c>
      <c r="Y9" s="93">
        <v>0.33700000000000002</v>
      </c>
      <c r="Z9" s="4"/>
      <c r="AA9" s="93">
        <v>-0.155</v>
      </c>
    </row>
    <row r="10" spans="2:27" ht="15" x14ac:dyDescent="0.25">
      <c r="B10">
        <f>Segéd_modál_1!B17</f>
        <v>2179.4494717703369</v>
      </c>
      <c r="D10">
        <f>Segéd_modál_1!D17</f>
        <v>15</v>
      </c>
      <c r="E10">
        <f>Segéd_modál_1!E17</f>
        <v>-3500</v>
      </c>
      <c r="F10">
        <f>Segéd_modál_1!F17</f>
        <v>125000</v>
      </c>
      <c r="G10">
        <f>Segéd_modál_1!G17</f>
        <v>44.018350940988768</v>
      </c>
      <c r="H10" s="82">
        <f>Segéd_modál_1!H17</f>
        <v>6.6346326907364483</v>
      </c>
      <c r="I10">
        <f>Segéd_modál_1!I17</f>
        <v>189.31498239234458</v>
      </c>
      <c r="J10" s="82">
        <f>Segéd_modál_1!J17</f>
        <v>13.759178114711089</v>
      </c>
      <c r="P10" s="77" t="s">
        <v>253</v>
      </c>
    </row>
    <row r="11" spans="2:27" x14ac:dyDescent="0.2">
      <c r="P11">
        <f>Segéd_modál_1!P18</f>
        <v>-0.2581988897471611</v>
      </c>
    </row>
    <row r="13" spans="2:27" ht="15" x14ac:dyDescent="0.25">
      <c r="D13" s="83"/>
      <c r="F13" s="83"/>
      <c r="N13" s="133" t="s">
        <v>331</v>
      </c>
      <c r="O13" s="77"/>
      <c r="P13" s="133" t="s">
        <v>332</v>
      </c>
      <c r="Q13" s="83"/>
      <c r="S13" s="126" t="s">
        <v>327</v>
      </c>
    </row>
    <row r="14" spans="2:27" ht="18" x14ac:dyDescent="0.25">
      <c r="N14" s="129">
        <f>Segéd_modál_1!N21</f>
        <v>0.49309084148547505</v>
      </c>
      <c r="P14" s="129">
        <f>Segéd_modál_1!P21</f>
        <v>0.30032441688360828</v>
      </c>
      <c r="S14" s="129">
        <f>Segéd_modál_1!S21</f>
        <v>-0.38194652344812929</v>
      </c>
      <c r="T14" s="129">
        <f>Segéd_modál_1!T21</f>
        <v>-0.23263029300993382</v>
      </c>
      <c r="Y14" s="18">
        <f>N14*Y9</f>
        <v>0.16617161358060512</v>
      </c>
      <c r="Z14" s="34" t="s">
        <v>357</v>
      </c>
      <c r="AA14" s="18">
        <f>P14*AA9</f>
        <v>-4.6550284616959287E-2</v>
      </c>
    </row>
    <row r="15" spans="2:27" x14ac:dyDescent="0.2">
      <c r="N15" s="129">
        <f>Segéd_modál_1!N22</f>
        <v>0.23263029300993382</v>
      </c>
      <c r="P15" s="129">
        <f>Segéd_modál_1!P22</f>
        <v>-0.38194652344812929</v>
      </c>
      <c r="S15" s="129">
        <f>Segéd_modál_1!S22</f>
        <v>-0.30032441688360828</v>
      </c>
      <c r="T15" s="129">
        <f>Segéd_modál_1!T22</f>
        <v>0.49309084148547505</v>
      </c>
    </row>
    <row r="17" spans="2:27" ht="17.25" x14ac:dyDescent="0.25">
      <c r="D17" s="83"/>
      <c r="O17" s="134" t="s">
        <v>328</v>
      </c>
      <c r="P17" s="129">
        <f>Segéd_modál_1!P24</f>
        <v>1.4792725244564255</v>
      </c>
      <c r="Q17" s="129">
        <f>Segéd_modál_1!Q24</f>
        <v>0.90097325065082545</v>
      </c>
    </row>
    <row r="18" spans="2:27" x14ac:dyDescent="0.2">
      <c r="P18" s="129">
        <f>Segéd_modál_1!P25</f>
        <v>1.1631514650496686</v>
      </c>
      <c r="Q18" s="129">
        <f>Segéd_modál_1!Q25</f>
        <v>-1.9097326172406464</v>
      </c>
    </row>
    <row r="20" spans="2:27" ht="18" x14ac:dyDescent="0.25">
      <c r="Y20" s="18">
        <f>N15*Y9</f>
        <v>7.8396408744347695E-2</v>
      </c>
      <c r="Z20" s="34" t="s">
        <v>357</v>
      </c>
      <c r="AA20" s="18">
        <f>P15*AA9</f>
        <v>5.9201711134460037E-2</v>
      </c>
    </row>
    <row r="23" spans="2:27" ht="31.5" x14ac:dyDescent="0.2">
      <c r="J23" s="172" t="s">
        <v>371</v>
      </c>
    </row>
    <row r="24" spans="2:27" ht="31.5" x14ac:dyDescent="0.2">
      <c r="J24" s="173" t="s">
        <v>372</v>
      </c>
      <c r="K24" s="1"/>
      <c r="L24" s="1"/>
      <c r="M24" s="1"/>
      <c r="N24" s="1"/>
    </row>
    <row r="25" spans="2:27" ht="31.5" x14ac:dyDescent="0.25">
      <c r="B25" s="4" t="s">
        <v>35</v>
      </c>
      <c r="D25" s="4" t="s">
        <v>46</v>
      </c>
      <c r="E25" s="4" t="s">
        <v>49</v>
      </c>
      <c r="F25" t="s">
        <v>47</v>
      </c>
      <c r="J25" s="172" t="s">
        <v>374</v>
      </c>
      <c r="R25" s="90" t="s">
        <v>259</v>
      </c>
    </row>
    <row r="26" spans="2:27" ht="31.5" x14ac:dyDescent="0.25">
      <c r="B26" s="77" t="s">
        <v>241</v>
      </c>
      <c r="C26" s="77"/>
      <c r="D26" s="77" t="s">
        <v>242</v>
      </c>
      <c r="E26" s="77" t="s">
        <v>243</v>
      </c>
      <c r="F26" s="77" t="s">
        <v>244</v>
      </c>
      <c r="G26" s="77" t="s">
        <v>254</v>
      </c>
      <c r="H26" s="89" t="s">
        <v>221</v>
      </c>
      <c r="J26" s="173" t="s">
        <v>373</v>
      </c>
      <c r="K26" s="1"/>
      <c r="L26" s="1"/>
      <c r="M26" s="1"/>
      <c r="N26" s="1"/>
      <c r="R26" s="90" t="s">
        <v>358</v>
      </c>
    </row>
    <row r="27" spans="2:27" ht="15" x14ac:dyDescent="0.25">
      <c r="B27" s="77">
        <f>P17*P5+Q17*P6</f>
        <v>0</v>
      </c>
      <c r="C27" s="77"/>
      <c r="D27" s="86">
        <f>N14*H5*N14+N15*I6*N15</f>
        <v>0.99999999999999989</v>
      </c>
      <c r="E27" s="86">
        <f>Segéd_modál_1!E34</f>
        <v>44.018350940988768</v>
      </c>
      <c r="F27" s="21">
        <f>'Segéd Modál_2'!F27</f>
        <v>4.4018350940988773</v>
      </c>
      <c r="G27" s="21">
        <f>N14*S5+N15*S6</f>
        <v>2.3263029300993381</v>
      </c>
      <c r="H27" s="21">
        <f>U5</f>
        <v>0</v>
      </c>
    </row>
    <row r="28" spans="2:27" ht="15" x14ac:dyDescent="0.25">
      <c r="B28" s="77" t="s">
        <v>247</v>
      </c>
      <c r="C28" s="77"/>
      <c r="D28" s="77" t="s">
        <v>248</v>
      </c>
      <c r="E28" s="77" t="s">
        <v>249</v>
      </c>
      <c r="F28" s="77" t="s">
        <v>250</v>
      </c>
      <c r="G28" s="77" t="s">
        <v>255</v>
      </c>
      <c r="H28" s="89" t="s">
        <v>184</v>
      </c>
    </row>
    <row r="29" spans="2:27" ht="15" x14ac:dyDescent="0.25">
      <c r="B29" s="77">
        <f>P18*P5+Q18*P6</f>
        <v>0</v>
      </c>
      <c r="C29" s="77"/>
      <c r="D29" s="86">
        <f>P14*H5*P14+P15*I6*P15</f>
        <v>0.99999999999999989</v>
      </c>
      <c r="E29" s="86">
        <f>Segéd_modál_1!E36</f>
        <v>189.31498239234458</v>
      </c>
      <c r="F29" s="21">
        <f>'Segéd Modál_2'!F29</f>
        <v>18.93149823923445</v>
      </c>
      <c r="G29" s="21">
        <f>P14*S5+P15*S6</f>
        <v>-3.8194652344812932</v>
      </c>
      <c r="H29" s="21">
        <f>U6</f>
        <v>10</v>
      </c>
    </row>
    <row r="32" spans="2:27" ht="36" x14ac:dyDescent="0.35">
      <c r="D32" s="19" t="s">
        <v>300</v>
      </c>
      <c r="E32" s="19" t="s">
        <v>302</v>
      </c>
      <c r="F32" s="19" t="s">
        <v>306</v>
      </c>
      <c r="J32" s="174" t="s">
        <v>375</v>
      </c>
      <c r="T32" s="90" t="s">
        <v>359</v>
      </c>
    </row>
    <row r="33" spans="4:20" ht="36" x14ac:dyDescent="0.35">
      <c r="D33" s="19" t="s">
        <v>301</v>
      </c>
      <c r="E33" s="19" t="s">
        <v>305</v>
      </c>
      <c r="F33" s="19" t="s">
        <v>303</v>
      </c>
      <c r="J33" s="174" t="s">
        <v>376</v>
      </c>
    </row>
    <row r="34" spans="4:20" ht="18" x14ac:dyDescent="0.25">
      <c r="T34" s="18" t="s">
        <v>304</v>
      </c>
    </row>
  </sheetData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0"/>
  <dimension ref="B1:T242"/>
  <sheetViews>
    <sheetView zoomScale="60" zoomScaleNormal="60" workbookViewId="0">
      <selection activeCell="Y32" sqref="Y32"/>
    </sheetView>
  </sheetViews>
  <sheetFormatPr defaultRowHeight="12.75" x14ac:dyDescent="0.2"/>
  <sheetData>
    <row r="1" spans="2:20" ht="18" x14ac:dyDescent="0.25">
      <c r="C1" s="2"/>
      <c r="G1" s="18" t="s">
        <v>273</v>
      </c>
      <c r="O1" s="18" t="s">
        <v>274</v>
      </c>
    </row>
    <row r="2" spans="2:20" x14ac:dyDescent="0.2">
      <c r="I2" s="2" t="s">
        <v>186</v>
      </c>
      <c r="Q2" s="2" t="s">
        <v>187</v>
      </c>
    </row>
    <row r="3" spans="2:20" ht="18" x14ac:dyDescent="0.25">
      <c r="F3" s="34" t="s">
        <v>35</v>
      </c>
      <c r="G3" s="34" t="s">
        <v>48</v>
      </c>
      <c r="H3" s="34" t="s">
        <v>86</v>
      </c>
      <c r="I3" s="34"/>
      <c r="J3" s="34" t="s">
        <v>35</v>
      </c>
      <c r="K3" s="34" t="s">
        <v>48</v>
      </c>
      <c r="L3" s="34" t="s">
        <v>86</v>
      </c>
      <c r="M3" s="34"/>
      <c r="N3" s="34" t="s">
        <v>35</v>
      </c>
      <c r="O3" s="34" t="s">
        <v>48</v>
      </c>
      <c r="P3" s="34" t="s">
        <v>86</v>
      </c>
      <c r="Q3" s="34"/>
      <c r="R3" s="34" t="s">
        <v>35</v>
      </c>
      <c r="S3" s="34" t="s">
        <v>48</v>
      </c>
      <c r="T3" s="34" t="s">
        <v>86</v>
      </c>
    </row>
    <row r="4" spans="2:20" ht="18.75" thickBot="1" x14ac:dyDescent="0.3">
      <c r="F4" s="25" t="s">
        <v>158</v>
      </c>
      <c r="G4" s="25" t="s">
        <v>265</v>
      </c>
      <c r="H4" s="25" t="s">
        <v>266</v>
      </c>
      <c r="I4" s="25"/>
      <c r="J4" s="25" t="s">
        <v>159</v>
      </c>
      <c r="K4" s="6" t="s">
        <v>184</v>
      </c>
      <c r="L4" s="6" t="s">
        <v>185</v>
      </c>
      <c r="M4" s="25"/>
      <c r="N4" s="25" t="s">
        <v>188</v>
      </c>
      <c r="O4" s="25" t="s">
        <v>265</v>
      </c>
      <c r="P4" s="25" t="s">
        <v>266</v>
      </c>
      <c r="Q4" s="25"/>
      <c r="R4" s="25" t="s">
        <v>24</v>
      </c>
      <c r="S4" s="6" t="s">
        <v>184</v>
      </c>
      <c r="T4" s="6" t="s">
        <v>185</v>
      </c>
    </row>
    <row r="5" spans="2:20" ht="18.75" thickBot="1" x14ac:dyDescent="0.3">
      <c r="F5" s="122">
        <v>0.20419999999999999</v>
      </c>
      <c r="G5" s="123">
        <v>10</v>
      </c>
      <c r="H5" s="124">
        <v>-2.16</v>
      </c>
      <c r="I5" s="34"/>
      <c r="J5" s="122">
        <v>-5.6500000000000002E-2</v>
      </c>
      <c r="K5" s="123">
        <v>10</v>
      </c>
      <c r="L5" s="124">
        <v>-1.1299999999999999</v>
      </c>
      <c r="M5" s="34"/>
      <c r="N5" s="122">
        <v>8.5999999999999993E-2</v>
      </c>
      <c r="O5" s="123">
        <v>10</v>
      </c>
      <c r="P5" s="124">
        <f>-2-2.1648</f>
        <v>-4.1647999999999996</v>
      </c>
      <c r="Q5" s="34"/>
      <c r="R5" s="122">
        <v>6.6409999999999997E-2</v>
      </c>
      <c r="S5" s="123">
        <v>10</v>
      </c>
      <c r="T5" s="124">
        <v>-1.1299999999999999</v>
      </c>
    </row>
    <row r="9" spans="2:20" x14ac:dyDescent="0.2">
      <c r="B9" s="94" t="s">
        <v>3</v>
      </c>
      <c r="C9" s="7" t="s">
        <v>186</v>
      </c>
      <c r="D9" s="94" t="s">
        <v>3</v>
      </c>
      <c r="E9" s="7" t="s">
        <v>187</v>
      </c>
    </row>
    <row r="10" spans="2:20" x14ac:dyDescent="0.2">
      <c r="B10" s="1">
        <v>0</v>
      </c>
      <c r="C10">
        <f>$F$5*SIN($G$5*B10+$H$5)+$J$5*SIN($K$5*B10+$L$5)</f>
        <v>-0.11866921399110342</v>
      </c>
      <c r="D10" s="1">
        <v>0</v>
      </c>
      <c r="E10">
        <f>$N$5*SIN($O$5*D10+$P$5)+$R$5*SIN($S$5*D10+$T$5)</f>
        <v>1.3363260186723736E-2</v>
      </c>
    </row>
    <row r="11" spans="2:20" x14ac:dyDescent="0.2">
      <c r="B11">
        <v>0.01</v>
      </c>
      <c r="C11">
        <f t="shared" ref="C11:C74" si="0">$F$5*SIN($G$5*B11+$H$5)+$J$5*SIN($K$5*B11+$L$5)</f>
        <v>-0.13181144814746582</v>
      </c>
      <c r="D11">
        <v>0.01</v>
      </c>
      <c r="E11">
        <f t="shared" ref="E11:E74" si="1">$N$5*SIN($O$5*D11+$P$5)+$R$5*SIN($S$5*D11+$T$5)</f>
        <v>1.1655265694265747E-2</v>
      </c>
    </row>
    <row r="12" spans="2:20" x14ac:dyDescent="0.2">
      <c r="B12">
        <v>0.02</v>
      </c>
      <c r="C12">
        <f t="shared" si="0"/>
        <v>-0.14363666588501051</v>
      </c>
      <c r="D12">
        <v>0.02</v>
      </c>
      <c r="E12">
        <f t="shared" si="1"/>
        <v>9.830815639709202E-3</v>
      </c>
    </row>
    <row r="13" spans="2:20" x14ac:dyDescent="0.2">
      <c r="B13">
        <v>0.03</v>
      </c>
      <c r="C13">
        <f t="shared" si="0"/>
        <v>-0.15402671353700137</v>
      </c>
      <c r="D13">
        <v>0.03</v>
      </c>
      <c r="E13">
        <f t="shared" si="1"/>
        <v>7.9081393249163454E-3</v>
      </c>
    </row>
    <row r="14" spans="2:20" x14ac:dyDescent="0.2">
      <c r="B14">
        <v>0.04</v>
      </c>
      <c r="C14">
        <f t="shared" si="0"/>
        <v>-0.16287777718179278</v>
      </c>
      <c r="D14">
        <v>0.04</v>
      </c>
      <c r="E14">
        <f t="shared" si="1"/>
        <v>5.9064474960722133E-3</v>
      </c>
    </row>
    <row r="15" spans="2:20" x14ac:dyDescent="0.2">
      <c r="B15">
        <v>0.05</v>
      </c>
      <c r="C15">
        <f t="shared" si="0"/>
        <v>-0.17010141991721855</v>
      </c>
      <c r="D15">
        <v>0.05</v>
      </c>
      <c r="E15">
        <f t="shared" si="1"/>
        <v>3.8457403962592895E-3</v>
      </c>
    </row>
    <row r="16" spans="2:20" x14ac:dyDescent="0.2">
      <c r="B16">
        <v>0.06</v>
      </c>
      <c r="C16">
        <f t="shared" si="0"/>
        <v>-0.17562546549288524</v>
      </c>
      <c r="D16">
        <v>0.06</v>
      </c>
      <c r="E16">
        <f t="shared" si="1"/>
        <v>1.7466079296396958E-3</v>
      </c>
    </row>
    <row r="17" spans="2:8" x14ac:dyDescent="0.2">
      <c r="B17">
        <v>7.0000000000000007E-2</v>
      </c>
      <c r="C17">
        <f t="shared" si="0"/>
        <v>-0.17939471947140748</v>
      </c>
      <c r="D17">
        <v>7.0000000000000007E-2</v>
      </c>
      <c r="E17">
        <f t="shared" si="1"/>
        <v>-3.6997606606102226E-4</v>
      </c>
    </row>
    <row r="18" spans="2:8" x14ac:dyDescent="0.2">
      <c r="B18">
        <v>0.08</v>
      </c>
      <c r="C18">
        <f t="shared" si="0"/>
        <v>-0.18137152071298152</v>
      </c>
      <c r="D18">
        <v>0.08</v>
      </c>
      <c r="E18">
        <f t="shared" si="1"/>
        <v>-2.4828633832074641E-3</v>
      </c>
    </row>
    <row r="19" spans="2:8" x14ac:dyDescent="0.2">
      <c r="B19">
        <v>0.09</v>
      </c>
      <c r="C19">
        <f t="shared" si="0"/>
        <v>-0.1815361176730452</v>
      </c>
      <c r="D19">
        <v>0.09</v>
      </c>
      <c r="E19">
        <f t="shared" si="1"/>
        <v>-4.5709427501544539E-3</v>
      </c>
    </row>
    <row r="20" spans="2:8" x14ac:dyDescent="0.2">
      <c r="B20">
        <v>0.1</v>
      </c>
      <c r="C20">
        <f t="shared" si="0"/>
        <v>-0.17988686575318205</v>
      </c>
      <c r="D20">
        <v>0.1</v>
      </c>
      <c r="E20">
        <f t="shared" si="1"/>
        <v>-6.6133507680946751E-3</v>
      </c>
    </row>
    <row r="21" spans="2:8" x14ac:dyDescent="0.2">
      <c r="B21">
        <v>0.11</v>
      </c>
      <c r="C21">
        <f t="shared" si="0"/>
        <v>-0.17644024373340519</v>
      </c>
      <c r="D21">
        <v>0.11</v>
      </c>
      <c r="E21">
        <f t="shared" si="1"/>
        <v>-8.5896803712432121E-3</v>
      </c>
    </row>
    <row r="22" spans="2:8" x14ac:dyDescent="0.2">
      <c r="B22">
        <v>0.12</v>
      </c>
      <c r="C22">
        <f t="shared" si="0"/>
        <v>-0.17123068912163447</v>
      </c>
      <c r="D22">
        <v>0.12</v>
      </c>
      <c r="E22">
        <f t="shared" si="1"/>
        <v>-1.0480184727493128E-2</v>
      </c>
    </row>
    <row r="23" spans="2:8" x14ac:dyDescent="0.2">
      <c r="B23">
        <v>0.13</v>
      </c>
      <c r="C23">
        <f t="shared" si="0"/>
        <v>-0.16431025406550087</v>
      </c>
      <c r="D23">
        <v>0.13</v>
      </c>
      <c r="E23">
        <f t="shared" si="1"/>
        <v>-1.2265974542234359E-2</v>
      </c>
    </row>
    <row r="24" spans="2:8" x14ac:dyDescent="0.2">
      <c r="B24">
        <v>0.14000000000000001</v>
      </c>
      <c r="C24">
        <f t="shared" si="0"/>
        <v>-0.15574808526449355</v>
      </c>
      <c r="D24">
        <v>0.14000000000000001</v>
      </c>
      <c r="E24">
        <f t="shared" si="1"/>
        <v>-1.3929206793941776E-2</v>
      </c>
    </row>
    <row r="25" spans="2:8" x14ac:dyDescent="0.2">
      <c r="B25">
        <v>0.15</v>
      </c>
      <c r="C25">
        <f t="shared" si="0"/>
        <v>-0.14562973307899557</v>
      </c>
      <c r="D25">
        <v>0.15</v>
      </c>
      <c r="E25">
        <f t="shared" si="1"/>
        <v>-1.5453263015747669E-2</v>
      </c>
    </row>
    <row r="26" spans="2:8" x14ac:dyDescent="0.2">
      <c r="B26">
        <v>0.16</v>
      </c>
      <c r="C26">
        <f t="shared" si="0"/>
        <v>-0.13405629673936176</v>
      </c>
      <c r="D26">
        <v>0.16</v>
      </c>
      <c r="E26">
        <f t="shared" si="1"/>
        <v>-1.6822915341669839E-2</v>
      </c>
    </row>
    <row r="27" spans="2:8" x14ac:dyDescent="0.2">
      <c r="B27">
        <v>0.17</v>
      </c>
      <c r="C27">
        <f t="shared" si="0"/>
        <v>-0.1211434141958284</v>
      </c>
      <c r="D27">
        <v>0.17</v>
      </c>
      <c r="E27">
        <f t="shared" si="1"/>
        <v>-1.80244786584145E-2</v>
      </c>
    </row>
    <row r="28" spans="2:8" ht="26.25" x14ac:dyDescent="0.2">
      <c r="B28">
        <v>0.18</v>
      </c>
      <c r="C28">
        <f t="shared" si="0"/>
        <v>-0.10702010670233905</v>
      </c>
      <c r="D28">
        <v>0.18</v>
      </c>
      <c r="E28">
        <f t="shared" si="1"/>
        <v>-1.9045947342504796E-2</v>
      </c>
      <c r="H28" s="171"/>
    </row>
    <row r="29" spans="2:8" ht="26.25" x14ac:dyDescent="0.2">
      <c r="B29">
        <v>0.19</v>
      </c>
      <c r="C29">
        <f t="shared" si="0"/>
        <v>-9.1827489678823773E-2</v>
      </c>
      <c r="D29">
        <v>0.19</v>
      </c>
      <c r="E29">
        <f t="shared" si="1"/>
        <v>-1.9877115216501928E-2</v>
      </c>
      <c r="H29" s="171"/>
    </row>
    <row r="30" spans="2:8" x14ac:dyDescent="0.2">
      <c r="B30">
        <v>0.2</v>
      </c>
      <c r="C30">
        <f t="shared" si="0"/>
        <v>-7.5717362732570098E-2</v>
      </c>
      <c r="D30">
        <v>0.2</v>
      </c>
      <c r="E30">
        <f t="shared" si="1"/>
        <v>-2.0509677525756491E-2</v>
      </c>
    </row>
    <row r="31" spans="2:8" x14ac:dyDescent="0.2">
      <c r="B31">
        <v>0.21</v>
      </c>
      <c r="C31">
        <f t="shared" si="0"/>
        <v>-5.885069292672504E-2</v>
      </c>
      <c r="D31">
        <v>0.21</v>
      </c>
      <c r="E31">
        <f t="shared" si="1"/>
        <v>-2.0937313916771727E-2</v>
      </c>
    </row>
    <row r="32" spans="2:8" x14ac:dyDescent="0.2">
      <c r="B32">
        <v>0.22</v>
      </c>
      <c r="C32">
        <f t="shared" si="0"/>
        <v>-4.139600645060882E-2</v>
      </c>
      <c r="D32">
        <v>0.22</v>
      </c>
      <c r="E32">
        <f t="shared" si="1"/>
        <v>-2.1155751588086393E-2</v>
      </c>
    </row>
    <row r="33" spans="2:5" x14ac:dyDescent="0.2">
      <c r="B33">
        <v>0.23</v>
      </c>
      <c r="C33">
        <f t="shared" si="0"/>
        <v>-2.3527704761738561E-2</v>
      </c>
      <c r="D33">
        <v>0.23</v>
      </c>
      <c r="E33">
        <f t="shared" si="1"/>
        <v>-2.1162807982694619E-2</v>
      </c>
    </row>
    <row r="34" spans="2:5" x14ac:dyDescent="0.2">
      <c r="B34">
        <v>0.24</v>
      </c>
      <c r="C34">
        <f t="shared" si="0"/>
        <v>-5.4243220241142823E-3</v>
      </c>
      <c r="D34">
        <v>0.24</v>
      </c>
      <c r="E34">
        <f t="shared" si="1"/>
        <v>-2.0958412595433989E-2</v>
      </c>
    </row>
    <row r="35" spans="2:5" x14ac:dyDescent="0.2">
      <c r="B35">
        <v>0.25</v>
      </c>
      <c r="C35">
        <f t="shared" si="0"/>
        <v>1.2733258746132563E-2</v>
      </c>
      <c r="D35">
        <v>0.25</v>
      </c>
      <c r="E35">
        <f t="shared" si="1"/>
        <v>-2.0544607677449922E-2</v>
      </c>
    </row>
    <row r="36" spans="2:5" x14ac:dyDescent="0.2">
      <c r="B36">
        <v>0.26</v>
      </c>
      <c r="C36">
        <f t="shared" si="0"/>
        <v>3.0763613004043781E-2</v>
      </c>
      <c r="D36">
        <v>0.26</v>
      </c>
      <c r="E36">
        <f t="shared" si="1"/>
        <v>-1.9925527830697135E-2</v>
      </c>
    </row>
    <row r="37" spans="2:5" x14ac:dyDescent="0.2">
      <c r="B37">
        <v>0.27</v>
      </c>
      <c r="C37">
        <f t="shared" si="0"/>
        <v>4.8486587409917056E-2</v>
      </c>
      <c r="D37">
        <v>0.27</v>
      </c>
      <c r="E37">
        <f t="shared" si="1"/>
        <v>-1.9107358696363846E-2</v>
      </c>
    </row>
    <row r="38" spans="2:5" x14ac:dyDescent="0.2">
      <c r="B38">
        <v>0.28000000000000003</v>
      </c>
      <c r="C38">
        <f t="shared" si="0"/>
        <v>6.572509986192529E-2</v>
      </c>
      <c r="D38">
        <v>0.28000000000000003</v>
      </c>
      <c r="E38">
        <f t="shared" si="1"/>
        <v>-1.8098275149989546E-2</v>
      </c>
    </row>
    <row r="39" spans="2:5" x14ac:dyDescent="0.2">
      <c r="B39">
        <v>0.28999999999999998</v>
      </c>
      <c r="C39">
        <f t="shared" si="0"/>
        <v>8.2306908841942625E-2</v>
      </c>
      <c r="D39">
        <v>0.28999999999999998</v>
      </c>
      <c r="E39">
        <f t="shared" si="1"/>
        <v>-1.69083596208109E-2</v>
      </c>
    </row>
    <row r="40" spans="2:5" x14ac:dyDescent="0.2">
      <c r="B40">
        <v>0.3</v>
      </c>
      <c r="C40">
        <f t="shared" si="0"/>
        <v>9.8066334395858101E-2</v>
      </c>
      <c r="D40">
        <v>0.3</v>
      </c>
      <c r="E40">
        <f t="shared" si="1"/>
        <v>-1.5549501351461714E-2</v>
      </c>
    </row>
    <row r="41" spans="2:5" x14ac:dyDescent="0.2">
      <c r="B41">
        <v>0.31</v>
      </c>
      <c r="C41">
        <f t="shared" si="0"/>
        <v>0.11284591355291049</v>
      </c>
      <c r="D41">
        <v>0.31</v>
      </c>
      <c r="E41">
        <f t="shared" si="1"/>
        <v>-1.4035277604590508E-2</v>
      </c>
    </row>
    <row r="42" spans="2:5" x14ac:dyDescent="0.2">
      <c r="B42">
        <v>0.32</v>
      </c>
      <c r="C42">
        <f t="shared" si="0"/>
        <v>0.12649797364364179</v>
      </c>
      <c r="D42">
        <v>0.32</v>
      </c>
      <c r="E42">
        <f t="shared" si="1"/>
        <v>-1.2380818003340163E-2</v>
      </c>
    </row>
    <row r="43" spans="2:5" x14ac:dyDescent="0.2">
      <c r="B43">
        <v>0.33</v>
      </c>
      <c r="C43">
        <f t="shared" si="0"/>
        <v>0.13888610779639654</v>
      </c>
      <c r="D43">
        <v>0.33</v>
      </c>
      <c r="E43">
        <f t="shared" si="1"/>
        <v>-1.0602653361154755E-2</v>
      </c>
    </row>
    <row r="44" spans="2:5" x14ac:dyDescent="0.2">
      <c r="B44">
        <v>0.34</v>
      </c>
      <c r="C44">
        <f t="shared" si="0"/>
        <v>0.14988653786969305</v>
      </c>
      <c r="D44">
        <v>0.34</v>
      </c>
      <c r="E44">
        <f t="shared" si="1"/>
        <v>-8.7185505113559353E-3</v>
      </c>
    </row>
    <row r="45" spans="2:5" x14ac:dyDescent="0.2">
      <c r="B45">
        <v>0.35</v>
      </c>
      <c r="C45">
        <f t="shared" si="0"/>
        <v>0.15938935120249775</v>
      </c>
      <c r="D45">
        <v>0.35</v>
      </c>
      <c r="E45">
        <f t="shared" si="1"/>
        <v>-6.7473347868172648E-3</v>
      </c>
    </row>
    <row r="46" spans="2:5" x14ac:dyDescent="0.2">
      <c r="B46">
        <v>0.36</v>
      </c>
      <c r="C46">
        <f t="shared" si="0"/>
        <v>0.16729959882520165</v>
      </c>
      <c r="D46">
        <v>0.36</v>
      </c>
      <c r="E46">
        <f t="shared" si="1"/>
        <v>-4.7087019234610811E-3</v>
      </c>
    </row>
    <row r="47" spans="2:5" x14ac:dyDescent="0.2">
      <c r="B47">
        <v>0.37</v>
      </c>
      <c r="C47">
        <f t="shared" si="0"/>
        <v>0.17353824415833896</v>
      </c>
      <c r="D47">
        <v>0.37</v>
      </c>
      <c r="E47">
        <f t="shared" si="1"/>
        <v>-2.6230212669755698E-3</v>
      </c>
    </row>
    <row r="48" spans="2:5" x14ac:dyDescent="0.2">
      <c r="B48">
        <v>0.38</v>
      </c>
      <c r="C48">
        <f t="shared" si="0"/>
        <v>0.17804295271996295</v>
      </c>
      <c r="D48">
        <v>0.38</v>
      </c>
      <c r="E48">
        <f t="shared" si="1"/>
        <v>-5.1113224904600699E-4</v>
      </c>
    </row>
    <row r="49" spans="2:5" x14ac:dyDescent="0.2">
      <c r="B49">
        <v>0.39</v>
      </c>
      <c r="C49">
        <f t="shared" si="0"/>
        <v>0.18076871495118452</v>
      </c>
      <c r="D49">
        <v>0.39</v>
      </c>
      <c r="E49">
        <f t="shared" si="1"/>
        <v>1.6058638333581836E-3</v>
      </c>
    </row>
    <row r="50" spans="2:5" x14ac:dyDescent="0.2">
      <c r="B50">
        <v>0.4</v>
      </c>
      <c r="C50">
        <f t="shared" si="0"/>
        <v>0.18168829593680652</v>
      </c>
      <c r="D50">
        <v>0.4</v>
      </c>
      <c r="E50">
        <f t="shared" si="1"/>
        <v>3.7068146551674508E-3</v>
      </c>
    </row>
    <row r="51" spans="2:5" x14ac:dyDescent="0.2">
      <c r="B51">
        <v>0.41</v>
      </c>
      <c r="C51">
        <f t="shared" si="0"/>
        <v>0.18079250752759365</v>
      </c>
      <c r="D51">
        <v>0.41</v>
      </c>
      <c r="E51">
        <f t="shared" si="1"/>
        <v>5.7707282102523018E-3</v>
      </c>
    </row>
    <row r="52" spans="2:5" x14ac:dyDescent="0.2">
      <c r="B52">
        <v>0.42</v>
      </c>
      <c r="C52">
        <f t="shared" si="0"/>
        <v>0.17809030014522245</v>
      </c>
      <c r="D52">
        <v>0.42</v>
      </c>
      <c r="E52">
        <f t="shared" si="1"/>
        <v>7.7769825566094599E-3</v>
      </c>
    </row>
    <row r="53" spans="2:5" x14ac:dyDescent="0.2">
      <c r="B53">
        <v>0.43</v>
      </c>
      <c r="C53">
        <f t="shared" si="0"/>
        <v>0.1736086733526267</v>
      </c>
      <c r="D53">
        <v>0.43</v>
      </c>
      <c r="E53">
        <f t="shared" si="1"/>
        <v>9.7055318639896054E-3</v>
      </c>
    </row>
    <row r="54" spans="2:5" x14ac:dyDescent="0.2">
      <c r="B54">
        <v>0.44</v>
      </c>
      <c r="C54">
        <f t="shared" si="0"/>
        <v>0.16739240608328901</v>
      </c>
      <c r="D54">
        <v>0.44</v>
      </c>
      <c r="E54">
        <f t="shared" si="1"/>
        <v>1.153710670520707E-2</v>
      </c>
    </row>
    <row r="55" spans="2:5" x14ac:dyDescent="0.2">
      <c r="B55">
        <v>0.45</v>
      </c>
      <c r="C55">
        <f t="shared" si="0"/>
        <v>0.15950360922493997</v>
      </c>
      <c r="D55">
        <v>0.45</v>
      </c>
      <c r="E55">
        <f t="shared" si="1"/>
        <v>1.3253406589886539E-2</v>
      </c>
    </row>
    <row r="56" spans="2:5" x14ac:dyDescent="0.2">
      <c r="B56">
        <v>0.46</v>
      </c>
      <c r="C56">
        <f t="shared" si="0"/>
        <v>0.15002110502809851</v>
      </c>
      <c r="D56">
        <v>0.46</v>
      </c>
      <c r="E56">
        <f t="shared" si="1"/>
        <v>1.483728281691362E-2</v>
      </c>
    </row>
    <row r="57" spans="2:5" x14ac:dyDescent="0.2">
      <c r="B57">
        <v>0.47</v>
      </c>
      <c r="C57">
        <f t="shared" si="0"/>
        <v>0.13903963954020063</v>
      </c>
      <c r="D57">
        <v>0.47</v>
      </c>
      <c r="E57">
        <f t="shared" si="1"/>
        <v>1.6272909818587696E-2</v>
      </c>
    </row>
    <row r="58" spans="2:5" x14ac:dyDescent="0.2">
      <c r="B58">
        <v>0.48</v>
      </c>
      <c r="C58">
        <f t="shared" si="0"/>
        <v>0.12666893593441111</v>
      </c>
      <c r="D58">
        <v>0.48</v>
      </c>
      <c r="E58">
        <f t="shared" si="1"/>
        <v>1.7545943284463288E-2</v>
      </c>
    </row>
    <row r="59" spans="2:5" x14ac:dyDescent="0.2">
      <c r="B59">
        <v>0.49</v>
      </c>
      <c r="C59">
        <f t="shared" si="0"/>
        <v>0.11303259819194823</v>
      </c>
      <c r="D59">
        <v>0.49</v>
      </c>
      <c r="E59">
        <f t="shared" si="1"/>
        <v>1.8643663484958252E-2</v>
      </c>
    </row>
    <row r="60" spans="2:5" x14ac:dyDescent="0.2">
      <c r="B60">
        <v>0.5</v>
      </c>
      <c r="C60">
        <f t="shared" si="0"/>
        <v>9.8266876091960914E-2</v>
      </c>
      <c r="D60">
        <v>0.5</v>
      </c>
      <c r="E60">
        <f t="shared" si="1"/>
        <v>1.9555102362687288E-2</v>
      </c>
    </row>
    <row r="61" spans="2:5" x14ac:dyDescent="0.2">
      <c r="B61">
        <v>0.51</v>
      </c>
      <c r="C61">
        <f t="shared" si="0"/>
        <v>8.2519303848773262E-2</v>
      </c>
      <c r="D61">
        <v>0.51</v>
      </c>
      <c r="E61">
        <f t="shared" si="1"/>
        <v>2.0271153121665796E-2</v>
      </c>
    </row>
    <row r="62" spans="2:5" x14ac:dyDescent="0.2">
      <c r="B62">
        <v>0.52</v>
      </c>
      <c r="C62">
        <f t="shared" si="0"/>
        <v>6.594722599878379E-2</v>
      </c>
      <c r="D62">
        <v>0.52</v>
      </c>
      <c r="E62">
        <f t="shared" si="1"/>
        <v>2.0784661219404948E-2</v>
      </c>
    </row>
    <row r="63" spans="2:5" x14ac:dyDescent="0.2">
      <c r="B63">
        <v>0.53</v>
      </c>
      <c r="C63">
        <f t="shared" si="0"/>
        <v>4.8716225265869113E-2</v>
      </c>
      <c r="D63">
        <v>0.53</v>
      </c>
      <c r="E63">
        <f t="shared" si="1"/>
        <v>2.1090495852735341E-2</v>
      </c>
    </row>
    <row r="64" spans="2:5" x14ac:dyDescent="0.2">
      <c r="B64">
        <v>0.54</v>
      </c>
      <c r="C64">
        <f t="shared" si="0"/>
        <v>3.0998468113541077E-2</v>
      </c>
      <c r="D64">
        <v>0.54</v>
      </c>
      <c r="E64">
        <f t="shared" si="1"/>
        <v>2.1185601223096241E-2</v>
      </c>
    </row>
    <row r="65" spans="2:5" x14ac:dyDescent="0.2">
      <c r="B65">
        <v>0.55000000000000004</v>
      </c>
      <c r="C65">
        <f t="shared" si="0"/>
        <v>1.2970984514553779E-2</v>
      </c>
      <c r="D65">
        <v>0.55000000000000004</v>
      </c>
      <c r="E65">
        <f t="shared" si="1"/>
        <v>2.1069027069064661E-2</v>
      </c>
    </row>
    <row r="66" spans="2:5" x14ac:dyDescent="0.2">
      <c r="B66">
        <v>0.56000000000000005</v>
      </c>
      <c r="C66">
        <f t="shared" si="0"/>
        <v>-5.18610087406568E-3</v>
      </c>
      <c r="D66">
        <v>0.56000000000000005</v>
      </c>
      <c r="E66">
        <f t="shared" si="1"/>
        <v>2.074193816105338E-2</v>
      </c>
    </row>
    <row r="67" spans="2:5" x14ac:dyDescent="0.2">
      <c r="B67">
        <v>0.56999999999999995</v>
      </c>
      <c r="C67">
        <f t="shared" si="0"/>
        <v>-2.3291368457048191E-2</v>
      </c>
      <c r="D67">
        <v>0.56999999999999995</v>
      </c>
      <c r="E67">
        <f t="shared" si="1"/>
        <v>2.0207602663310037E-2</v>
      </c>
    </row>
    <row r="68" spans="2:5" x14ac:dyDescent="0.2">
      <c r="B68">
        <v>0.57999999999999996</v>
      </c>
      <c r="C68">
        <f t="shared" si="0"/>
        <v>-4.1163916385510986E-2</v>
      </c>
      <c r="D68">
        <v>0.57999999999999996</v>
      </c>
      <c r="E68">
        <f t="shared" si="1"/>
        <v>1.9471359479500225E-2</v>
      </c>
    </row>
    <row r="69" spans="2:5" x14ac:dyDescent="0.2">
      <c r="B69">
        <v>0.59</v>
      </c>
      <c r="C69">
        <f t="shared" si="0"/>
        <v>-5.8625168068431266E-2</v>
      </c>
      <c r="D69">
        <v>0.59</v>
      </c>
      <c r="E69">
        <f t="shared" si="1"/>
        <v>1.8540564908146984E-2</v>
      </c>
    </row>
    <row r="70" spans="2:5" x14ac:dyDescent="0.2">
      <c r="B70">
        <v>0.6</v>
      </c>
      <c r="C70">
        <f t="shared" si="0"/>
        <v>-7.5500656450916012E-2</v>
      </c>
      <c r="D70">
        <v>0.6</v>
      </c>
      <c r="E70">
        <f t="shared" si="1"/>
        <v>1.742451914092745E-2</v>
      </c>
    </row>
    <row r="71" spans="2:5" x14ac:dyDescent="0.2">
      <c r="B71">
        <v>0.61</v>
      </c>
      <c r="C71">
        <f t="shared" si="0"/>
        <v>-9.1621767231341938E-2</v>
      </c>
      <c r="D71">
        <v>0.61</v>
      </c>
      <c r="E71">
        <f t="shared" si="1"/>
        <v>1.6134373338232033E-2</v>
      </c>
    </row>
    <row r="72" spans="2:5" x14ac:dyDescent="0.2">
      <c r="B72">
        <v>0.62</v>
      </c>
      <c r="C72">
        <f t="shared" si="0"/>
        <v>-0.10682742359972203</v>
      </c>
      <c r="D72">
        <v>0.62</v>
      </c>
      <c r="E72">
        <f t="shared" si="1"/>
        <v>1.4683018210455721E-2</v>
      </c>
    </row>
    <row r="73" spans="2:5" x14ac:dyDescent="0.2">
      <c r="B73">
        <v>0.63</v>
      </c>
      <c r="C73">
        <f t="shared" si="0"/>
        <v>-0.12096569566394491</v>
      </c>
      <c r="D73">
        <v>0.63</v>
      </c>
      <c r="E73">
        <f t="shared" si="1"/>
        <v>1.3084955218281069E-2</v>
      </c>
    </row>
    <row r="74" spans="2:5" x14ac:dyDescent="0.2">
      <c r="B74">
        <v>0.64</v>
      </c>
      <c r="C74">
        <f t="shared" si="0"/>
        <v>-0.13389531848303651</v>
      </c>
      <c r="D74">
        <v>0.64</v>
      </c>
      <c r="E74">
        <f t="shared" si="1"/>
        <v>1.1356151678876499E-2</v>
      </c>
    </row>
    <row r="75" spans="2:5" x14ac:dyDescent="0.2">
      <c r="B75">
        <v>0.65</v>
      </c>
      <c r="C75">
        <f t="shared" ref="C75:C138" si="2">$F$5*SIN($G$5*B75+$H$5)+$J$5*SIN($K$5*B75+$L$5)</f>
        <v>-0.14548710353975328</v>
      </c>
      <c r="D75">
        <v>0.65</v>
      </c>
      <c r="E75">
        <f t="shared" ref="E75:E138" si="3">$N$5*SIN($O$5*D75+$P$5)+$R$5*SIN($S$5*D75+$T$5)</f>
        <v>9.51388122574124E-3</v>
      </c>
    </row>
    <row r="76" spans="2:5" x14ac:dyDescent="0.2">
      <c r="B76">
        <v>0.66</v>
      </c>
      <c r="C76">
        <f t="shared" si="2"/>
        <v>-0.15562522954954347</v>
      </c>
      <c r="D76">
        <v>0.66</v>
      </c>
      <c r="E76">
        <f t="shared" si="3"/>
        <v>7.5765512162693852E-3</v>
      </c>
    </row>
    <row r="77" spans="2:5" x14ac:dyDescent="0.2">
      <c r="B77">
        <v>0.67</v>
      </c>
      <c r="C77">
        <f t="shared" si="2"/>
        <v>-0.1642083997085359</v>
      </c>
      <c r="D77">
        <v>0.67</v>
      </c>
      <c r="E77">
        <f t="shared" si="3"/>
        <v>5.5635188115194384E-3</v>
      </c>
    </row>
    <row r="78" spans="2:5" x14ac:dyDescent="0.2">
      <c r="B78">
        <v>0.68</v>
      </c>
      <c r="C78">
        <f t="shared" si="2"/>
        <v>-0.17115085381772094</v>
      </c>
      <c r="D78">
        <v>0.68</v>
      </c>
      <c r="E78">
        <f t="shared" si="3"/>
        <v>3.4948975658595643E-3</v>
      </c>
    </row>
    <row r="79" spans="2:5" x14ac:dyDescent="0.2">
      <c r="B79">
        <v>0.69</v>
      </c>
      <c r="C79">
        <f t="shared" si="2"/>
        <v>-0.17638322517050964</v>
      </c>
      <c r="D79">
        <v>0.69</v>
      </c>
      <c r="E79">
        <f t="shared" si="3"/>
        <v>1.3913564589812175E-3</v>
      </c>
    </row>
    <row r="80" spans="2:5" x14ac:dyDescent="0.2">
      <c r="B80">
        <v>0.7</v>
      </c>
      <c r="C80">
        <f t="shared" si="2"/>
        <v>-0.17985323364193723</v>
      </c>
      <c r="D80">
        <v>0.7</v>
      </c>
      <c r="E80">
        <f t="shared" si="3"/>
        <v>-7.2608662171401439E-4</v>
      </c>
    </row>
    <row r="81" spans="2:5" x14ac:dyDescent="0.2">
      <c r="B81">
        <v>0.71</v>
      </c>
      <c r="C81">
        <f t="shared" si="2"/>
        <v>-0.18152620805438929</v>
      </c>
      <c r="D81">
        <v>0.71</v>
      </c>
      <c r="E81">
        <f t="shared" si="3"/>
        <v>-2.8362748848973912E-3</v>
      </c>
    </row>
    <row r="82" spans="2:5" x14ac:dyDescent="0.2">
      <c r="B82">
        <v>0.72</v>
      </c>
      <c r="C82">
        <f t="shared" si="2"/>
        <v>-0.18138543260054849</v>
      </c>
      <c r="D82">
        <v>0.72</v>
      </c>
      <c r="E82">
        <f t="shared" si="3"/>
        <v>-4.9181240269786965E-3</v>
      </c>
    </row>
    <row r="83" spans="2:5" x14ac:dyDescent="0.2">
      <c r="B83">
        <v>0.73</v>
      </c>
      <c r="C83">
        <f t="shared" si="2"/>
        <v>-0.17943231386221539</v>
      </c>
      <c r="D83">
        <v>0.73</v>
      </c>
      <c r="E83">
        <f t="shared" si="3"/>
        <v>-6.9508328994981111E-3</v>
      </c>
    </row>
    <row r="84" spans="2:5" x14ac:dyDescent="0.2">
      <c r="B84">
        <v>0.74</v>
      </c>
      <c r="C84">
        <f t="shared" si="2"/>
        <v>-0.17568636675620822</v>
      </c>
      <c r="D84">
        <v>0.74</v>
      </c>
      <c r="E84">
        <f t="shared" si="3"/>
        <v>-8.9140913473256152E-3</v>
      </c>
    </row>
    <row r="85" spans="2:5" x14ac:dyDescent="0.2">
      <c r="B85">
        <v>0.75</v>
      </c>
      <c r="C85">
        <f t="shared" si="2"/>
        <v>-0.17018501954776477</v>
      </c>
      <c r="D85">
        <v>0.75</v>
      </c>
      <c r="E85">
        <f t="shared" si="3"/>
        <v>-1.0788283141017466E-2</v>
      </c>
    </row>
    <row r="86" spans="2:5" x14ac:dyDescent="0.2">
      <c r="B86">
        <v>0.76</v>
      </c>
      <c r="C86">
        <f t="shared" si="2"/>
        <v>-0.16298323987968813</v>
      </c>
      <c r="D86">
        <v>0.76</v>
      </c>
      <c r="E86">
        <f t="shared" si="3"/>
        <v>-1.2554681975696546E-2</v>
      </c>
    </row>
    <row r="87" spans="2:5" x14ac:dyDescent="0.2">
      <c r="B87">
        <v>0.77</v>
      </c>
      <c r="C87">
        <f t="shared" si="2"/>
        <v>-0.15415298555382986</v>
      </c>
      <c r="D87">
        <v>0.77</v>
      </c>
      <c r="E87">
        <f t="shared" si="3"/>
        <v>-1.4195638578100588E-2</v>
      </c>
    </row>
    <row r="88" spans="2:5" x14ac:dyDescent="0.2">
      <c r="B88">
        <v>0.78</v>
      </c>
      <c r="C88">
        <f t="shared" si="2"/>
        <v>-0.14378248555251988</v>
      </c>
      <c r="D88">
        <v>0.78</v>
      </c>
      <c r="E88">
        <f t="shared" si="3"/>
        <v>-1.5694757052286484E-2</v>
      </c>
    </row>
    <row r="89" spans="2:5" x14ac:dyDescent="0.2">
      <c r="B89">
        <v>0.79</v>
      </c>
      <c r="C89">
        <f t="shared" si="2"/>
        <v>-0.13197535848373995</v>
      </c>
      <c r="D89">
        <v>0.79</v>
      </c>
      <c r="E89">
        <f t="shared" si="3"/>
        <v>-1.7037058702002835E-2</v>
      </c>
    </row>
    <row r="90" spans="2:5" x14ac:dyDescent="0.2">
      <c r="B90">
        <v>0.8</v>
      </c>
      <c r="C90">
        <f t="shared" si="2"/>
        <v>-0.11884957725824391</v>
      </c>
      <c r="D90">
        <v>0.8</v>
      </c>
      <c r="E90">
        <f t="shared" si="3"/>
        <v>-1.8209131692871632E-2</v>
      </c>
    </row>
    <row r="91" spans="2:5" x14ac:dyDescent="0.2">
      <c r="B91">
        <v>0.81</v>
      </c>
      <c r="C91">
        <f t="shared" si="2"/>
        <v>-0.10453629034323023</v>
      </c>
      <c r="D91">
        <v>0.81</v>
      </c>
      <c r="E91">
        <f t="shared" si="3"/>
        <v>-1.9199265059003948E-2</v>
      </c>
    </row>
    <row r="92" spans="2:5" x14ac:dyDescent="0.2">
      <c r="B92">
        <v>0.82</v>
      </c>
      <c r="C92">
        <f t="shared" si="2"/>
        <v>-8.9178511370210878E-2</v>
      </c>
      <c r="D92">
        <v>0.82</v>
      </c>
      <c r="E92">
        <f t="shared" si="3"/>
        <v>-1.9997565715099919E-2</v>
      </c>
    </row>
    <row r="93" spans="2:5" x14ac:dyDescent="0.2">
      <c r="B93">
        <v>0.83</v>
      </c>
      <c r="C93">
        <f t="shared" si="2"/>
        <v>-7.2929690190076737E-2</v>
      </c>
      <c r="D93">
        <v>0.83</v>
      </c>
      <c r="E93">
        <f t="shared" si="3"/>
        <v>-2.0596057304886985E-2</v>
      </c>
    </row>
    <row r="94" spans="2:5" x14ac:dyDescent="0.2">
      <c r="B94">
        <v>0.84</v>
      </c>
      <c r="C94">
        <f t="shared" si="2"/>
        <v>-5.5952179652913464E-2</v>
      </c>
      <c r="D94">
        <v>0.84</v>
      </c>
      <c r="E94">
        <f t="shared" si="3"/>
        <v>-2.0988759898235024E-2</v>
      </c>
    </row>
    <row r="95" spans="2:5" x14ac:dyDescent="0.2">
      <c r="B95">
        <v>0.85</v>
      </c>
      <c r="C95">
        <f t="shared" si="2"/>
        <v>-3.8415613431990181E-2</v>
      </c>
      <c r="D95">
        <v>0.85</v>
      </c>
      <c r="E95">
        <f t="shared" si="3"/>
        <v>-2.1171749740641482E-2</v>
      </c>
    </row>
    <row r="96" spans="2:5" x14ac:dyDescent="0.2">
      <c r="B96">
        <v>0.86</v>
      </c>
      <c r="C96">
        <f t="shared" si="2"/>
        <v>-2.0495211100167929E-2</v>
      </c>
      <c r="D96">
        <v>0.86</v>
      </c>
      <c r="E96">
        <f t="shared" si="3"/>
        <v>-2.1143198458089443E-2</v>
      </c>
    </row>
    <row r="97" spans="2:5" x14ac:dyDescent="0.2">
      <c r="B97">
        <v>0.87</v>
      </c>
      <c r="C97">
        <f t="shared" si="2"/>
        <v>-2.370027393848867E-3</v>
      </c>
      <c r="D97">
        <v>0.87</v>
      </c>
      <c r="E97">
        <f t="shared" si="3"/>
        <v>-2.0903391325556381E-2</v>
      </c>
    </row>
    <row r="98" spans="2:5" x14ac:dyDescent="0.2">
      <c r="B98">
        <v>0.88</v>
      </c>
      <c r="C98">
        <f t="shared" si="2"/>
        <v>1.5778836842762961E-2</v>
      </c>
      <c r="D98">
        <v>0.88</v>
      </c>
      <c r="E98">
        <f t="shared" si="3"/>
        <v>-2.045472441664084E-2</v>
      </c>
    </row>
    <row r="99" spans="2:5" x14ac:dyDescent="0.2">
      <c r="B99">
        <v>0.89</v>
      </c>
      <c r="C99">
        <f t="shared" si="2"/>
        <v>3.3770044157431581E-2</v>
      </c>
      <c r="D99">
        <v>0.89</v>
      </c>
      <c r="E99">
        <f t="shared" si="3"/>
        <v>-1.9801680662787174E-2</v>
      </c>
    </row>
    <row r="100" spans="2:5" x14ac:dyDescent="0.2">
      <c r="B100">
        <v>0.9</v>
      </c>
      <c r="C100">
        <f t="shared" si="2"/>
        <v>5.1423832353771612E-2</v>
      </c>
      <c r="D100">
        <v>0.9</v>
      </c>
      <c r="E100">
        <f t="shared" si="3"/>
        <v>-1.8950785061316311E-2</v>
      </c>
    </row>
    <row r="101" spans="2:5" x14ac:dyDescent="0.2">
      <c r="B101">
        <v>0.91</v>
      </c>
      <c r="C101">
        <f t="shared" si="2"/>
        <v>6.8563810615691737E-2</v>
      </c>
      <c r="D101">
        <v>0.91</v>
      </c>
      <c r="E101">
        <f t="shared" si="3"/>
        <v>-1.7910539479809473E-2</v>
      </c>
    </row>
    <row r="102" spans="2:5" x14ac:dyDescent="0.2">
      <c r="B102">
        <v>0.92</v>
      </c>
      <c r="C102">
        <f t="shared" si="2"/>
        <v>8.5018721946122644E-2</v>
      </c>
      <c r="D102">
        <v>0.92</v>
      </c>
      <c r="E102">
        <f t="shared" si="3"/>
        <v>-1.6691337708257536E-2</v>
      </c>
    </row>
    <row r="103" spans="2:5" x14ac:dyDescent="0.2">
      <c r="B103">
        <v>0.93</v>
      </c>
      <c r="C103">
        <f t="shared" si="2"/>
        <v>0.10062415431032068</v>
      </c>
      <c r="D103">
        <v>0.93</v>
      </c>
      <c r="E103">
        <f t="shared" si="3"/>
        <v>-1.5305361607747467E-2</v>
      </c>
    </row>
    <row r="104" spans="2:5" x14ac:dyDescent="0.2">
      <c r="B104">
        <v>0.94</v>
      </c>
      <c r="C104">
        <f t="shared" si="2"/>
        <v>0.11522418338657291</v>
      </c>
      <c r="D104">
        <v>0.94</v>
      </c>
      <c r="E104">
        <f t="shared" si="3"/>
        <v>-1.3766459393332681E-2</v>
      </c>
    </row>
    <row r="105" spans="2:5" x14ac:dyDescent="0.2">
      <c r="B105">
        <v>0.95</v>
      </c>
      <c r="C105">
        <f t="shared" si="2"/>
        <v>0.12867293051047807</v>
      </c>
      <c r="D105">
        <v>0.95</v>
      </c>
      <c r="E105">
        <f t="shared" si="3"/>
        <v>-1.2090007267246114E-2</v>
      </c>
    </row>
    <row r="106" spans="2:5" x14ac:dyDescent="0.2">
      <c r="B106">
        <v>0.96</v>
      </c>
      <c r="C106">
        <f t="shared" si="2"/>
        <v>0.14083602024633807</v>
      </c>
      <c r="D106">
        <v>0.96</v>
      </c>
      <c r="E106">
        <f t="shared" si="3"/>
        <v>-1.0292755784970249E-2</v>
      </c>
    </row>
    <row r="107" spans="2:5" x14ac:dyDescent="0.2">
      <c r="B107">
        <v>0.97</v>
      </c>
      <c r="C107">
        <f t="shared" si="2"/>
        <v>0.15159192302209556</v>
      </c>
      <c r="D107">
        <v>0.97</v>
      </c>
      <c r="E107">
        <f t="shared" si="3"/>
        <v>-8.3926624892238233E-3</v>
      </c>
    </row>
    <row r="108" spans="2:5" x14ac:dyDescent="0.2">
      <c r="B108">
        <v>0.98</v>
      </c>
      <c r="C108">
        <f t="shared" si="2"/>
        <v>0.16083316941264389</v>
      </c>
      <c r="D108">
        <v>0.98</v>
      </c>
      <c r="E108">
        <f t="shared" si="3"/>
        <v>-6.40871248413033E-3</v>
      </c>
    </row>
    <row r="109" spans="2:5" x14ac:dyDescent="0.2">
      <c r="B109">
        <v>0.99</v>
      </c>
      <c r="C109">
        <f t="shared" si="2"/>
        <v>0.16846742393879829</v>
      </c>
      <c r="D109">
        <v>0.99</v>
      </c>
      <c r="E109">
        <f t="shared" si="3"/>
        <v>-4.3607287423340427E-3</v>
      </c>
    </row>
    <row r="110" spans="2:5" x14ac:dyDescent="0.2">
      <c r="B110">
        <v>1</v>
      </c>
      <c r="C110">
        <f t="shared" si="2"/>
        <v>0.17441840765288286</v>
      </c>
      <c r="D110">
        <v>1</v>
      </c>
      <c r="E110">
        <f t="shared" si="3"/>
        <v>-2.2691740404098201E-3</v>
      </c>
    </row>
    <row r="111" spans="2:5" x14ac:dyDescent="0.2">
      <c r="B111">
        <v>1.01</v>
      </c>
      <c r="C111">
        <f t="shared" si="2"/>
        <v>0.17862666029275978</v>
      </c>
      <c r="D111">
        <v>1.01</v>
      </c>
      <c r="E111">
        <f t="shared" si="3"/>
        <v>-1.5494650156283249E-4</v>
      </c>
    </row>
    <row r="112" spans="2:5" x14ac:dyDescent="0.2">
      <c r="B112">
        <v>1.02</v>
      </c>
      <c r="C112">
        <f t="shared" si="2"/>
        <v>0.18105013438911521</v>
      </c>
      <c r="D112">
        <v>1.02</v>
      </c>
      <c r="E112">
        <f t="shared" si="3"/>
        <v>1.960829211509061E-3</v>
      </c>
    </row>
    <row r="113" spans="2:5" x14ac:dyDescent="0.2">
      <c r="B113">
        <v>1.03</v>
      </c>
      <c r="C113">
        <f t="shared" si="2"/>
        <v>0.18166461538987205</v>
      </c>
      <c r="D113">
        <v>1.03</v>
      </c>
      <c r="E113">
        <f t="shared" si="3"/>
        <v>4.0570129672636516E-3</v>
      </c>
    </row>
    <row r="114" spans="2:5" x14ac:dyDescent="0.2">
      <c r="B114">
        <v>1.04</v>
      </c>
      <c r="C114">
        <f t="shared" si="2"/>
        <v>0.18046396360399114</v>
      </c>
      <c r="D114">
        <v>1.04</v>
      </c>
      <c r="E114">
        <f t="shared" si="3"/>
        <v>6.1126603905196156E-3</v>
      </c>
    </row>
    <row r="115" spans="2:5" x14ac:dyDescent="0.2">
      <c r="B115">
        <v>1.05</v>
      </c>
      <c r="C115">
        <f t="shared" si="2"/>
        <v>0.17746017554723459</v>
      </c>
      <c r="D115">
        <v>1.05</v>
      </c>
      <c r="E115">
        <f t="shared" si="3"/>
        <v>8.1072321317301587E-3</v>
      </c>
    </row>
    <row r="116" spans="2:5" x14ac:dyDescent="0.2">
      <c r="B116">
        <v>1.06</v>
      </c>
      <c r="C116">
        <f t="shared" si="2"/>
        <v>0.17268326407694484</v>
      </c>
      <c r="D116">
        <v>1.06</v>
      </c>
      <c r="E116">
        <f t="shared" si="3"/>
        <v>1.0020799089375247E-2</v>
      </c>
    </row>
    <row r="117" spans="2:5" x14ac:dyDescent="0.2">
      <c r="B117">
        <v>1.07</v>
      </c>
      <c r="C117">
        <f t="shared" si="2"/>
        <v>0.16618095851349618</v>
      </c>
      <c r="D117">
        <v>1.07</v>
      </c>
      <c r="E117">
        <f t="shared" si="3"/>
        <v>1.1834241534955162E-2</v>
      </c>
    </row>
    <row r="118" spans="2:5" x14ac:dyDescent="0.2">
      <c r="B118">
        <v>1.08</v>
      </c>
      <c r="C118">
        <f t="shared" si="2"/>
        <v>0.15801822774470237</v>
      </c>
      <c r="D118">
        <v>1.08</v>
      </c>
      <c r="E118">
        <f t="shared" si="3"/>
        <v>1.3529440150997728E-2</v>
      </c>
    </row>
    <row r="119" spans="2:5" x14ac:dyDescent="0.2">
      <c r="B119">
        <v>1.0900000000000001</v>
      </c>
      <c r="C119">
        <f t="shared" si="2"/>
        <v>0.14827663107816474</v>
      </c>
      <c r="D119">
        <v>1.0900000000000001</v>
      </c>
      <c r="E119">
        <f t="shared" si="3"/>
        <v>1.5089457073290062E-2</v>
      </c>
    </row>
    <row r="120" spans="2:5" x14ac:dyDescent="0.2">
      <c r="B120">
        <v>1.1000000000000001</v>
      </c>
      <c r="C120">
        <f t="shared" si="2"/>
        <v>0.13705350332763197</v>
      </c>
      <c r="D120">
        <v>1.1000000000000001</v>
      </c>
      <c r="E120">
        <f t="shared" si="3"/>
        <v>1.6498705128417217E-2</v>
      </c>
    </row>
    <row r="121" spans="2:5" x14ac:dyDescent="0.2">
      <c r="B121">
        <v>1.1100000000000001</v>
      </c>
      <c r="C121">
        <f t="shared" si="2"/>
        <v>0.1244609822757141</v>
      </c>
      <c r="D121">
        <v>1.1100000000000001</v>
      </c>
      <c r="E121">
        <f t="shared" si="3"/>
        <v>1.7743103575648192E-2</v>
      </c>
    </row>
    <row r="122" spans="2:5" x14ac:dyDescent="0.2">
      <c r="B122">
        <v>1.1200000000000001</v>
      </c>
      <c r="C122">
        <f t="shared" si="2"/>
        <v>0.11062488823022831</v>
      </c>
      <c r="D122">
        <v>1.1200000000000001</v>
      </c>
      <c r="E122">
        <f t="shared" si="3"/>
        <v>1.881021879704161E-2</v>
      </c>
    </row>
    <row r="123" spans="2:5" x14ac:dyDescent="0.2">
      <c r="B123">
        <v>1.1299999999999999</v>
      </c>
      <c r="C123">
        <f t="shared" si="2"/>
        <v>9.5683466869272704E-2</v>
      </c>
      <c r="D123">
        <v>1.1299999999999999</v>
      </c>
      <c r="E123">
        <f t="shared" si="3"/>
        <v>1.9689388530046523E-2</v>
      </c>
    </row>
    <row r="124" spans="2:5" x14ac:dyDescent="0.2">
      <c r="B124">
        <v>1.1399999999999999</v>
      </c>
      <c r="C124">
        <f t="shared" si="2"/>
        <v>7.9786007936108155E-2</v>
      </c>
      <c r="D124">
        <v>1.1399999999999999</v>
      </c>
      <c r="E124">
        <f t="shared" si="3"/>
        <v>2.0371828401305699E-2</v>
      </c>
    </row>
    <row r="125" spans="2:5" x14ac:dyDescent="0.2">
      <c r="B125">
        <v>1.1499999999999999</v>
      </c>
      <c r="C125">
        <f t="shared" si="2"/>
        <v>6.3091353585393389E-2</v>
      </c>
      <c r="D125">
        <v>1.1499999999999999</v>
      </c>
      <c r="E125">
        <f t="shared" si="3"/>
        <v>2.0850719697210265E-2</v>
      </c>
    </row>
    <row r="126" spans="2:5" x14ac:dyDescent="0.2">
      <c r="B126">
        <v>1.1599999999999999</v>
      </c>
      <c r="C126">
        <f t="shared" si="2"/>
        <v>4.576631128488233E-2</v>
      </c>
      <c r="D126">
        <v>1.1599999999999999</v>
      </c>
      <c r="E126">
        <f t="shared" si="3"/>
        <v>2.1121277494231948E-2</v>
      </c>
    </row>
    <row r="127" spans="2:5" x14ac:dyDescent="0.2">
      <c r="B127">
        <v>1.17</v>
      </c>
      <c r="C127">
        <f t="shared" si="2"/>
        <v>2.7983987130343994E-2</v>
      </c>
      <c r="D127">
        <v>1.17</v>
      </c>
      <c r="E127">
        <f t="shared" si="3"/>
        <v>2.1180798468297235E-2</v>
      </c>
    </row>
    <row r="128" spans="2:5" x14ac:dyDescent="0.2">
      <c r="B128">
        <v>1.18</v>
      </c>
      <c r="C128">
        <f t="shared" si="2"/>
        <v>9.9220562266754755E-3</v>
      </c>
      <c r="D128">
        <v>1.18</v>
      </c>
      <c r="E128">
        <f t="shared" si="3"/>
        <v>2.1028687905508506E-2</v>
      </c>
    </row>
    <row r="129" spans="2:5" x14ac:dyDescent="0.2">
      <c r="B129">
        <v>1.19</v>
      </c>
      <c r="C129">
        <f t="shared" si="2"/>
        <v>-8.2390125830142102E-3</v>
      </c>
      <c r="D129">
        <v>1.19</v>
      </c>
      <c r="E129">
        <f t="shared" si="3"/>
        <v>2.0666465644327905E-2</v>
      </c>
    </row>
    <row r="130" spans="2:5" x14ac:dyDescent="0.2">
      <c r="B130">
        <v>1.2</v>
      </c>
      <c r="C130">
        <f t="shared" si="2"/>
        <v>-2.6317759902430217E-2</v>
      </c>
      <c r="D130">
        <v>1.2</v>
      </c>
      <c r="E130">
        <f t="shared" si="3"/>
        <v>2.0097750889854479E-2</v>
      </c>
    </row>
    <row r="131" spans="2:5" x14ac:dyDescent="0.2">
      <c r="B131">
        <v>1.21</v>
      </c>
      <c r="C131">
        <f t="shared" si="2"/>
        <v>-4.4133548864395633E-2</v>
      </c>
      <c r="D131">
        <v>1.21</v>
      </c>
      <c r="E131">
        <f t="shared" si="3"/>
        <v>1.9328226051922817E-2</v>
      </c>
    </row>
    <row r="132" spans="2:5" x14ac:dyDescent="0.2">
      <c r="B132">
        <v>1.22</v>
      </c>
      <c r="C132">
        <f t="shared" si="2"/>
        <v>-6.150836999471964E-2</v>
      </c>
      <c r="D132">
        <v>1.22</v>
      </c>
      <c r="E132">
        <f t="shared" si="3"/>
        <v>1.8365579968342427E-2</v>
      </c>
    </row>
    <row r="133" spans="2:5" x14ac:dyDescent="0.2">
      <c r="B133">
        <v>1.23</v>
      </c>
      <c r="C133">
        <f t="shared" si="2"/>
        <v>-7.8268619824020669E-2</v>
      </c>
      <c r="D133">
        <v>1.23</v>
      </c>
      <c r="E133">
        <f t="shared" si="3"/>
        <v>1.7219431080571945E-2</v>
      </c>
    </row>
    <row r="134" spans="2:5" x14ac:dyDescent="0.2">
      <c r="B134">
        <v>1.24</v>
      </c>
      <c r="C134">
        <f t="shared" si="2"/>
        <v>-9.4246835476205632E-2</v>
      </c>
      <c r="D134">
        <v>1.24</v>
      </c>
      <c r="E134">
        <f t="shared" si="3"/>
        <v>1.5901231329431539E-2</v>
      </c>
    </row>
    <row r="135" spans="2:5" x14ac:dyDescent="0.2">
      <c r="B135">
        <v>1.25</v>
      </c>
      <c r="C135">
        <f t="shared" si="2"/>
        <v>-0.10928336790217427</v>
      </c>
      <c r="D135">
        <v>1.25</v>
      </c>
      <c r="E135">
        <f t="shared" si="3"/>
        <v>1.4424151731095736E-2</v>
      </c>
    </row>
    <row r="136" spans="2:5" x14ac:dyDescent="0.2">
      <c r="B136">
        <v>1.26</v>
      </c>
      <c r="C136">
        <f t="shared" si="2"/>
        <v>-0.12322797704034286</v>
      </c>
      <c r="D136">
        <v>1.26</v>
      </c>
      <c r="E136">
        <f t="shared" si="3"/>
        <v>1.2802950776653409E-2</v>
      </c>
    </row>
    <row r="137" spans="2:5" x14ac:dyDescent="0.2">
      <c r="B137">
        <v>1.27</v>
      </c>
      <c r="C137">
        <f t="shared" si="2"/>
        <v>-0.13594133296567801</v>
      </c>
      <c r="D137">
        <v>1.27</v>
      </c>
      <c r="E137">
        <f t="shared" si="3"/>
        <v>1.1053826970143697E-2</v>
      </c>
    </row>
    <row r="138" spans="2:5" x14ac:dyDescent="0.2">
      <c r="B138">
        <v>1.28</v>
      </c>
      <c r="C138">
        <f t="shared" si="2"/>
        <v>-0.1472964080282505</v>
      </c>
      <c r="D138">
        <v>1.28</v>
      </c>
      <c r="E138">
        <f t="shared" si="3"/>
        <v>9.1942569784576392E-3</v>
      </c>
    </row>
    <row r="139" spans="2:5" x14ac:dyDescent="0.2">
      <c r="B139">
        <v>1.29</v>
      </c>
      <c r="C139">
        <f t="shared" ref="C139:C202" si="4">$F$5*SIN($G$5*B139+$H$5)+$J$5*SIN($K$5*B139+$L$5)</f>
        <v>-0.15717974607152346</v>
      </c>
      <c r="D139">
        <v>1.29</v>
      </c>
      <c r="E139">
        <f t="shared" ref="E139:E202" si="5">$N$5*SIN($O$5*D139+$P$5)+$R$5*SIN($S$5*D139+$T$5)</f>
        <v>7.2428210102600532E-3</v>
      </c>
    </row>
    <row r="140" spans="2:5" x14ac:dyDescent="0.2">
      <c r="B140">
        <v>1.3</v>
      </c>
      <c r="C140">
        <f t="shared" si="4"/>
        <v>-0.16549259604876618</v>
      </c>
      <c r="D140">
        <v>1.3</v>
      </c>
      <c r="E140">
        <f t="shared" si="5"/>
        <v>5.2190171686864392E-3</v>
      </c>
    </row>
    <row r="141" spans="2:5" x14ac:dyDescent="0.2">
      <c r="B141">
        <v>1.31</v>
      </c>
      <c r="C141">
        <f t="shared" si="4"/>
        <v>-0.17215189871086881</v>
      </c>
      <c r="D141">
        <v>1.31</v>
      </c>
      <c r="E141">
        <f t="shared" si="5"/>
        <v>3.1430666327408943E-3</v>
      </c>
    </row>
    <row r="142" spans="2:5" x14ac:dyDescent="0.2">
      <c r="B142">
        <v>1.32</v>
      </c>
      <c r="C142">
        <f t="shared" si="4"/>
        <v>-0.17709111650690407</v>
      </c>
      <c r="D142">
        <v>1.32</v>
      </c>
      <c r="E142">
        <f t="shared" si="5"/>
        <v>1.035711613960634E-3</v>
      </c>
    </row>
    <row r="143" spans="2:5" x14ac:dyDescent="0.2">
      <c r="B143">
        <v>1.33</v>
      </c>
      <c r="C143">
        <f t="shared" si="4"/>
        <v>-0.18026089840534279</v>
      </c>
      <c r="D143">
        <v>1.33</v>
      </c>
      <c r="E143">
        <f t="shared" si="5"/>
        <v>-1.0819918929053825E-3</v>
      </c>
    </row>
    <row r="144" spans="2:5" x14ac:dyDescent="0.2">
      <c r="B144">
        <v>1.34</v>
      </c>
      <c r="C144">
        <f t="shared" si="4"/>
        <v>-0.181629572993246</v>
      </c>
      <c r="D144">
        <v>1.34</v>
      </c>
      <c r="E144">
        <f t="shared" si="5"/>
        <v>-3.1888844944366612E-3</v>
      </c>
    </row>
    <row r="145" spans="2:5" x14ac:dyDescent="0.2">
      <c r="B145">
        <v>1.35</v>
      </c>
      <c r="C145">
        <f t="shared" si="4"/>
        <v>-0.18118346492655538</v>
      </c>
      <c r="D145">
        <v>1.35</v>
      </c>
      <c r="E145">
        <f t="shared" si="5"/>
        <v>-5.2639148162043755E-3</v>
      </c>
    </row>
    <row r="146" spans="2:5" x14ac:dyDescent="0.2">
      <c r="B146">
        <v>1.36</v>
      </c>
      <c r="C146">
        <f t="shared" si="4"/>
        <v>-0.17892703156960924</v>
      </c>
      <c r="D146">
        <v>1.36</v>
      </c>
      <c r="E146">
        <f t="shared" si="5"/>
        <v>-7.2863498411476222E-3</v>
      </c>
    </row>
    <row r="147" spans="2:5" x14ac:dyDescent="0.2">
      <c r="B147">
        <v>1.37</v>
      </c>
      <c r="C147">
        <f t="shared" si="4"/>
        <v>-0.17488281845863257</v>
      </c>
      <c r="D147">
        <v>1.37</v>
      </c>
      <c r="E147">
        <f t="shared" si="5"/>
        <v>-9.235982067025238E-3</v>
      </c>
    </row>
    <row r="148" spans="2:5" x14ac:dyDescent="0.2">
      <c r="B148">
        <v>1.38</v>
      </c>
      <c r="C148">
        <f t="shared" si="4"/>
        <v>-0.16909123403419141</v>
      </c>
      <c r="D148">
        <v>1.38</v>
      </c>
      <c r="E148">
        <f t="shared" si="5"/>
        <v>-1.1093331413098749E-2</v>
      </c>
    </row>
    <row r="149" spans="2:5" x14ac:dyDescent="0.2">
      <c r="B149">
        <v>1.39</v>
      </c>
      <c r="C149">
        <f t="shared" si="4"/>
        <v>-0.16161014589341133</v>
      </c>
      <c r="D149">
        <v>1.39</v>
      </c>
      <c r="E149">
        <f t="shared" si="5"/>
        <v>-1.2839839858660331E-2</v>
      </c>
    </row>
    <row r="150" spans="2:5" x14ac:dyDescent="0.2">
      <c r="B150">
        <v>1.4</v>
      </c>
      <c r="C150">
        <f t="shared" si="4"/>
        <v>-0.15251430259607573</v>
      </c>
      <c r="D150">
        <v>1.4</v>
      </c>
      <c r="E150">
        <f t="shared" si="5"/>
        <v>-1.445805686864109E-2</v>
      </c>
    </row>
    <row r="151" spans="2:5" x14ac:dyDescent="0.2">
      <c r="B151">
        <v>1.41</v>
      </c>
      <c r="C151">
        <f t="shared" si="4"/>
        <v>-0.14189458680172584</v>
      </c>
      <c r="D151">
        <v>1.41</v>
      </c>
      <c r="E151">
        <f t="shared" si="5"/>
        <v>-1.593181375358866E-2</v>
      </c>
    </row>
    <row r="152" spans="2:5" x14ac:dyDescent="0.2">
      <c r="B152">
        <v>1.42</v>
      </c>
      <c r="C152">
        <f t="shared" si="4"/>
        <v>-0.12985710720016769</v>
      </c>
      <c r="D152">
        <v>1.42</v>
      </c>
      <c r="E152">
        <f t="shared" si="5"/>
        <v>-1.7246385221867604E-2</v>
      </c>
    </row>
    <row r="153" spans="2:5" x14ac:dyDescent="0.2">
      <c r="B153">
        <v>1.43</v>
      </c>
      <c r="C153">
        <f t="shared" si="4"/>
        <v>-0.11652213830851789</v>
      </c>
      <c r="D153">
        <v>1.43</v>
      </c>
      <c r="E153">
        <f t="shared" si="5"/>
        <v>-1.8388636509906853E-2</v>
      </c>
    </row>
    <row r="154" spans="2:5" x14ac:dyDescent="0.2">
      <c r="B154">
        <v>1.44</v>
      </c>
      <c r="C154">
        <f t="shared" si="4"/>
        <v>-0.10202291872798752</v>
      </c>
      <c r="D154">
        <v>1.44</v>
      </c>
      <c r="E154">
        <f t="shared" si="5"/>
        <v>-1.9347154620414003E-2</v>
      </c>
    </row>
    <row r="155" spans="2:5" x14ac:dyDescent="0.2">
      <c r="B155">
        <v>1.45</v>
      </c>
      <c r="C155">
        <f t="shared" si="4"/>
        <v>-8.6504319867819923E-2</v>
      </c>
      <c r="D155">
        <v>1.45</v>
      </c>
      <c r="E155">
        <f t="shared" si="5"/>
        <v>-2.0112362357273116E-2</v>
      </c>
    </row>
    <row r="156" spans="2:5" x14ac:dyDescent="0.2">
      <c r="B156">
        <v>1.46</v>
      </c>
      <c r="C156">
        <f t="shared" si="4"/>
        <v>-7.0121398438059687E-2</v>
      </c>
      <c r="D156">
        <v>1.46</v>
      </c>
      <c r="E156">
        <f t="shared" si="5"/>
        <v>-2.0676614017721515E-2</v>
      </c>
    </row>
    <row r="157" spans="2:5" x14ac:dyDescent="0.2">
      <c r="B157">
        <v>1.47</v>
      </c>
      <c r="C157">
        <f t="shared" si="4"/>
        <v>-5.3037847174159089E-2</v>
      </c>
      <c r="D157">
        <v>1.47</v>
      </c>
      <c r="E157">
        <f t="shared" si="5"/>
        <v>-2.103427178568458E-2</v>
      </c>
    </row>
    <row r="158" spans="2:5" x14ac:dyDescent="0.2">
      <c r="B158">
        <v>1.48</v>
      </c>
      <c r="C158">
        <f t="shared" si="4"/>
        <v>-3.5424359273275266E-2</v>
      </c>
      <c r="D158">
        <v>1.48</v>
      </c>
      <c r="E158">
        <f t="shared" si="5"/>
        <v>-2.1181762062970989E-2</v>
      </c>
    </row>
    <row r="159" spans="2:5" x14ac:dyDescent="0.2">
      <c r="B159">
        <v>1.49</v>
      </c>
      <c r="C159">
        <f t="shared" si="4"/>
        <v>-1.745692288426947E-2</v>
      </c>
      <c r="D159">
        <v>1.49</v>
      </c>
      <c r="E159">
        <f t="shared" si="5"/>
        <v>-2.1117611175483872E-2</v>
      </c>
    </row>
    <row r="160" spans="2:5" x14ac:dyDescent="0.2">
      <c r="B160">
        <v>1.5</v>
      </c>
      <c r="C160">
        <f t="shared" si="4"/>
        <v>6.8493730770436551E-4</v>
      </c>
      <c r="D160">
        <v>1.5</v>
      </c>
      <c r="E160">
        <f t="shared" si="5"/>
        <v>-2.0842460097685381E-2</v>
      </c>
    </row>
    <row r="161" spans="2:5" x14ac:dyDescent="0.2">
      <c r="B161">
        <v>1.51</v>
      </c>
      <c r="C161">
        <f t="shared" si="4"/>
        <v>1.8819953832509839E-2</v>
      </c>
      <c r="D161">
        <v>1.51</v>
      </c>
      <c r="E161">
        <f t="shared" si="5"/>
        <v>-2.0359058048192227E-2</v>
      </c>
    </row>
    <row r="162" spans="2:5" x14ac:dyDescent="0.2">
      <c r="B162">
        <v>1.52</v>
      </c>
      <c r="C162">
        <f t="shared" si="4"/>
        <v>3.6766927599670492E-2</v>
      </c>
      <c r="D162">
        <v>1.52</v>
      </c>
      <c r="E162">
        <f t="shared" si="5"/>
        <v>-1.9672235020491313E-2</v>
      </c>
    </row>
    <row r="163" spans="2:5" x14ac:dyDescent="0.2">
      <c r="B163">
        <v>1.53</v>
      </c>
      <c r="C163">
        <f t="shared" si="4"/>
        <v>5.4346538379785946E-2</v>
      </c>
      <c r="D163">
        <v>1.53</v>
      </c>
      <c r="E163">
        <f t="shared" si="5"/>
        <v>-1.8788853523242E-2</v>
      </c>
    </row>
    <row r="164" spans="2:5" x14ac:dyDescent="0.2">
      <c r="B164">
        <v>1.54</v>
      </c>
      <c r="C164">
        <f t="shared" si="4"/>
        <v>7.1383136512987416E-2</v>
      </c>
      <c r="D164">
        <v>1.54</v>
      </c>
      <c r="E164">
        <f t="shared" si="5"/>
        <v>-1.7717740012357694E-2</v>
      </c>
    </row>
    <row r="165" spans="2:5" x14ac:dyDescent="0.2">
      <c r="B165">
        <v>1.55</v>
      </c>
      <c r="C165">
        <f t="shared" si="4"/>
        <v>8.7706497942278916E-2</v>
      </c>
      <c r="D165">
        <v>1.55</v>
      </c>
      <c r="E165">
        <f t="shared" si="5"/>
        <v>-1.6469596699976108E-2</v>
      </c>
    </row>
    <row r="166" spans="2:5" x14ac:dyDescent="0.2">
      <c r="B166">
        <v>1.56</v>
      </c>
      <c r="C166">
        <f t="shared" si="4"/>
        <v>0.10315352503604507</v>
      </c>
      <c r="D166">
        <v>1.56</v>
      </c>
      <c r="E166">
        <f t="shared" si="5"/>
        <v>-1.5056894621493178E-2</v>
      </c>
    </row>
    <row r="167" spans="2:5" x14ac:dyDescent="0.2">
      <c r="B167">
        <v>1.57</v>
      </c>
      <c r="C167">
        <f t="shared" si="4"/>
        <v>0.11756987620567266</v>
      </c>
      <c r="D167">
        <v>1.57</v>
      </c>
      <c r="E167">
        <f t="shared" si="5"/>
        <v>-1.3493749029099909E-2</v>
      </c>
    </row>
    <row r="168" spans="2:5" x14ac:dyDescent="0.2">
      <c r="B168">
        <v>1.58</v>
      </c>
      <c r="C168">
        <f t="shared" si="4"/>
        <v>0.13081150803568733</v>
      </c>
      <c r="D168">
        <v>1.58</v>
      </c>
      <c r="E168">
        <f t="shared" si="5"/>
        <v>-1.1795778356848356E-2</v>
      </c>
    </row>
    <row r="169" spans="2:5" x14ac:dyDescent="0.2">
      <c r="B169">
        <v>1.59</v>
      </c>
      <c r="C169">
        <f t="shared" si="4"/>
        <v>0.14274611451794489</v>
      </c>
      <c r="D169">
        <v>1.59</v>
      </c>
      <c r="E169">
        <f t="shared" si="5"/>
        <v>-9.9799481664209766E-3</v>
      </c>
    </row>
    <row r="170" spans="2:5" x14ac:dyDescent="0.2">
      <c r="B170">
        <v>1.6</v>
      </c>
      <c r="C170">
        <f t="shared" si="4"/>
        <v>0.15325444900953128</v>
      </c>
      <c r="D170">
        <v>1.6</v>
      </c>
      <c r="E170">
        <f t="shared" si="5"/>
        <v>-8.0644016328471207E-3</v>
      </c>
    </row>
    <row r="171" spans="2:5" x14ac:dyDescent="0.2">
      <c r="B171">
        <v>1.61</v>
      </c>
      <c r="C171">
        <f t="shared" si="4"/>
        <v>0.16223151570580011</v>
      </c>
      <c r="D171">
        <v>1.61</v>
      </c>
      <c r="E171">
        <f t="shared" si="5"/>
        <v>-6.0682782638945276E-3</v>
      </c>
    </row>
    <row r="172" spans="2:5" x14ac:dyDescent="0.2">
      <c r="B172">
        <v>1.62</v>
      </c>
      <c r="C172">
        <f t="shared" si="4"/>
        <v>0.16958761872374575</v>
      </c>
      <c r="D172">
        <v>1.62</v>
      </c>
      <c r="E172">
        <f t="shared" si="5"/>
        <v>-4.0115226644351909E-3</v>
      </c>
    </row>
    <row r="173" spans="2:5" x14ac:dyDescent="0.2">
      <c r="B173">
        <v>1.63</v>
      </c>
      <c r="C173">
        <f t="shared" si="4"/>
        <v>0.17524925831361698</v>
      </c>
      <c r="D173">
        <v>1.63</v>
      </c>
      <c r="E173">
        <f t="shared" si="5"/>
        <v>-1.9146852565460545E-3</v>
      </c>
    </row>
    <row r="174" spans="2:5" x14ac:dyDescent="0.2">
      <c r="B174">
        <v>1.64</v>
      </c>
      <c r="C174">
        <f t="shared" si="4"/>
        <v>0.17915986524412181</v>
      </c>
      <c r="D174">
        <v>1.64</v>
      </c>
      <c r="E174">
        <f t="shared" si="5"/>
        <v>2.0128305351583761E-4</v>
      </c>
    </row>
    <row r="175" spans="2:5" x14ac:dyDescent="0.2">
      <c r="B175">
        <v>1.65</v>
      </c>
      <c r="C175">
        <f t="shared" si="4"/>
        <v>0.18128036602348502</v>
      </c>
      <c r="D175">
        <v>1.65</v>
      </c>
      <c r="E175">
        <f t="shared" si="5"/>
        <v>2.3152402098423272E-3</v>
      </c>
    </row>
    <row r="176" spans="2:5" x14ac:dyDescent="0.2">
      <c r="B176">
        <v>1.66</v>
      </c>
      <c r="C176">
        <f t="shared" si="4"/>
        <v>0.18158957330886352</v>
      </c>
      <c r="D176">
        <v>1.66</v>
      </c>
      <c r="E176">
        <f t="shared" si="5"/>
        <v>4.4060642513086678E-3</v>
      </c>
    </row>
    <row r="177" spans="2:5" x14ac:dyDescent="0.2">
      <c r="B177">
        <v>1.67</v>
      </c>
      <c r="C177">
        <f t="shared" si="4"/>
        <v>0.18008439760327219</v>
      </c>
      <c r="D177">
        <v>1.67</v>
      </c>
      <c r="E177">
        <f t="shared" si="5"/>
        <v>6.4528643552272009E-3</v>
      </c>
    </row>
    <row r="178" spans="2:5" x14ac:dyDescent="0.2">
      <c r="B178">
        <v>1.68</v>
      </c>
      <c r="C178">
        <f t="shared" si="4"/>
        <v>0.17677987812481638</v>
      </c>
      <c r="D178">
        <v>1.68</v>
      </c>
      <c r="E178">
        <f t="shared" si="5"/>
        <v>8.4351895715416656E-3</v>
      </c>
    </row>
    <row r="179" spans="2:5" x14ac:dyDescent="0.2">
      <c r="B179">
        <v>1.69</v>
      </c>
      <c r="C179">
        <f t="shared" si="4"/>
        <v>0.171709032539796</v>
      </c>
      <c r="D179">
        <v>1.69</v>
      </c>
      <c r="E179">
        <f t="shared" si="5"/>
        <v>1.0333233161960177E-2</v>
      </c>
    </row>
    <row r="180" spans="2:5" x14ac:dyDescent="0.2">
      <c r="B180">
        <v>1.7</v>
      </c>
      <c r="C180">
        <f t="shared" si="4"/>
        <v>0.16492252706109764</v>
      </c>
      <c r="D180">
        <v>1.7</v>
      </c>
      <c r="E180">
        <f t="shared" si="5"/>
        <v>1.2128030502337203E-2</v>
      </c>
    </row>
    <row r="181" spans="2:5" x14ac:dyDescent="0.2">
      <c r="B181">
        <v>1.71</v>
      </c>
      <c r="C181">
        <f t="shared" si="4"/>
        <v>0.15648817020814407</v>
      </c>
      <c r="D181">
        <v>1.71</v>
      </c>
      <c r="E181">
        <f t="shared" si="5"/>
        <v>1.3801648570928745E-2</v>
      </c>
    </row>
    <row r="182" spans="2:5" x14ac:dyDescent="0.2">
      <c r="B182">
        <v>1.72</v>
      </c>
      <c r="C182">
        <f t="shared" si="4"/>
        <v>0.14649023528658273</v>
      </c>
      <c r="D182">
        <v>1.72</v>
      </c>
      <c r="E182">
        <f t="shared" si="5"/>
        <v>1.5337365129217972E-2</v>
      </c>
    </row>
    <row r="183" spans="2:5" x14ac:dyDescent="0.2">
      <c r="B183">
        <v>1.73</v>
      </c>
      <c r="C183">
        <f t="shared" si="4"/>
        <v>0.13502861835727123</v>
      </c>
      <c r="D183">
        <v>1.73</v>
      </c>
      <c r="E183">
        <f t="shared" si="5"/>
        <v>1.6719835804994958E-2</v>
      </c>
    </row>
    <row r="184" spans="2:5" x14ac:dyDescent="0.2">
      <c r="B184">
        <v>1.74</v>
      </c>
      <c r="C184">
        <f t="shared" si="4"/>
        <v>0.12221784010786127</v>
      </c>
      <c r="D184">
        <v>1.74</v>
      </c>
      <c r="E184">
        <f t="shared" si="5"/>
        <v>1.7935247408251302E-2</v>
      </c>
    </row>
    <row r="185" spans="2:5" x14ac:dyDescent="0.2">
      <c r="B185">
        <v>1.75</v>
      </c>
      <c r="C185">
        <f t="shared" si="4"/>
        <v>0.10818590159993974</v>
      </c>
      <c r="D185">
        <v>1.75</v>
      </c>
      <c r="E185">
        <f t="shared" si="5"/>
        <v>1.8971455948009003E-2</v>
      </c>
    </row>
    <row r="186" spans="2:5" x14ac:dyDescent="0.2">
      <c r="B186">
        <v>1.76</v>
      </c>
      <c r="C186">
        <f t="shared" si="4"/>
        <v>9.307300532473603E-2</v>
      </c>
      <c r="D186">
        <v>1.76</v>
      </c>
      <c r="E186">
        <f t="shared" si="5"/>
        <v>1.9818107971063759E-2</v>
      </c>
    </row>
    <row r="187" spans="2:5" x14ac:dyDescent="0.2">
      <c r="B187">
        <v>1.77</v>
      </c>
      <c r="C187">
        <f t="shared" si="4"/>
        <v>7.7030154346173274E-2</v>
      </c>
      <c r="D187">
        <v>1.77</v>
      </c>
      <c r="E187">
        <f t="shared" si="5"/>
        <v>2.0466744010267143E-2</v>
      </c>
    </row>
    <row r="188" spans="2:5" x14ac:dyDescent="0.2">
      <c r="B188">
        <v>1.78</v>
      </c>
      <c r="C188">
        <f t="shared" si="4"/>
        <v>6.0217643528166651E-2</v>
      </c>
      <c r="D188">
        <v>1.78</v>
      </c>
      <c r="E188">
        <f t="shared" si="5"/>
        <v>2.091088310872604E-2</v>
      </c>
    </row>
    <row r="189" spans="2:5" x14ac:dyDescent="0.2">
      <c r="B189">
        <v>1.79</v>
      </c>
      <c r="C189">
        <f t="shared" si="4"/>
        <v>4.2803457921333665E-2</v>
      </c>
      <c r="D189">
        <v>1.79</v>
      </c>
      <c r="E189">
        <f t="shared" si="5"/>
        <v>2.1146087575381507E-2</v>
      </c>
    </row>
    <row r="190" spans="2:5" x14ac:dyDescent="0.2">
      <c r="B190">
        <v>1.8</v>
      </c>
      <c r="C190">
        <f t="shared" si="4"/>
        <v>2.4961594311892148E-2</v>
      </c>
      <c r="D190">
        <v>1.8</v>
      </c>
      <c r="E190">
        <f t="shared" si="5"/>
        <v>2.1170007324950967E-2</v>
      </c>
    </row>
    <row r="191" spans="2:5" x14ac:dyDescent="0.2">
      <c r="B191">
        <v>1.81</v>
      </c>
      <c r="C191">
        <f t="shared" si="4"/>
        <v>6.870322703292249E-3</v>
      </c>
      <c r="D191">
        <v>1.81</v>
      </c>
      <c r="E191">
        <f t="shared" si="5"/>
        <v>2.0982403359203566E-2</v>
      </c>
    </row>
    <row r="192" spans="2:5" x14ac:dyDescent="0.2">
      <c r="B192">
        <v>1.82</v>
      </c>
      <c r="C192">
        <f t="shared" si="4"/>
        <v>-1.1289594898731568E-2</v>
      </c>
      <c r="D192">
        <v>1.82</v>
      </c>
      <c r="E192">
        <f t="shared" si="5"/>
        <v>2.0585150154951395E-2</v>
      </c>
    </row>
    <row r="193" spans="2:5" x14ac:dyDescent="0.2">
      <c r="B193">
        <v>1.83</v>
      </c>
      <c r="C193">
        <f t="shared" si="4"/>
        <v>-2.9336710600371796E-2</v>
      </c>
      <c r="D193">
        <v>1.83</v>
      </c>
      <c r="E193">
        <f t="shared" si="5"/>
        <v>1.9982216934896893E-2</v>
      </c>
    </row>
    <row r="194" spans="2:5" x14ac:dyDescent="0.2">
      <c r="B194">
        <v>1.84</v>
      </c>
      <c r="C194">
        <f t="shared" si="4"/>
        <v>-4.7090703587120343E-2</v>
      </c>
      <c r="D194">
        <v>1.84</v>
      </c>
      <c r="E194">
        <f t="shared" si="5"/>
        <v>1.917962800847163E-2</v>
      </c>
    </row>
    <row r="195" spans="2:5" x14ac:dyDescent="0.2">
      <c r="B195">
        <v>1.85</v>
      </c>
      <c r="C195">
        <f t="shared" si="4"/>
        <v>-6.4374181829742805E-2</v>
      </c>
      <c r="D195">
        <v>1.85</v>
      </c>
      <c r="E195">
        <f t="shared" si="5"/>
        <v>1.8185402578927867E-2</v>
      </c>
    </row>
    <row r="196" spans="2:5" x14ac:dyDescent="0.2">
      <c r="B196">
        <v>1.86</v>
      </c>
      <c r="C196">
        <f t="shared" si="4"/>
        <v>-8.1014454526798438E-2</v>
      </c>
      <c r="D196">
        <v>1.86</v>
      </c>
      <c r="E196">
        <f t="shared" si="5"/>
        <v>1.7009474618110282E-2</v>
      </c>
    </row>
    <row r="197" spans="2:5" x14ac:dyDescent="0.2">
      <c r="B197">
        <v>1.87</v>
      </c>
      <c r="C197">
        <f t="shared" si="4"/>
        <v>-9.6845257574040514E-2</v>
      </c>
      <c r="D197">
        <v>1.87</v>
      </c>
      <c r="E197">
        <f t="shared" si="5"/>
        <v>1.5663593609493306E-2</v>
      </c>
    </row>
    <row r="198" spans="2:5" x14ac:dyDescent="0.2">
      <c r="B198">
        <v>1.88</v>
      </c>
      <c r="C198">
        <f t="shared" si="4"/>
        <v>-0.11170841482038762</v>
      </c>
      <c r="D198">
        <v>1.88</v>
      </c>
      <c r="E198">
        <f t="shared" si="5"/>
        <v>1.4161207151226027E-2</v>
      </c>
    </row>
    <row r="199" spans="2:5" x14ac:dyDescent="0.2">
      <c r="B199">
        <v>1.89</v>
      </c>
      <c r="C199">
        <f t="shared" si="4"/>
        <v>-0.12545541851174305</v>
      </c>
      <c r="D199">
        <v>1.89</v>
      </c>
      <c r="E199">
        <f t="shared" si="5"/>
        <v>1.2517326592176324E-2</v>
      </c>
    </row>
    <row r="200" spans="2:5" x14ac:dyDescent="0.2">
      <c r="B200">
        <v>1.9</v>
      </c>
      <c r="C200">
        <f t="shared" si="4"/>
        <v>-0.13794891313137689</v>
      </c>
      <c r="D200">
        <v>1.9</v>
      </c>
      <c r="E200">
        <f t="shared" si="5"/>
        <v>1.0748377043495634E-2</v>
      </c>
    </row>
    <row r="201" spans="2:5" x14ac:dyDescent="0.2">
      <c r="B201">
        <v>1.91</v>
      </c>
      <c r="C201">
        <f t="shared" si="4"/>
        <v>-0.14906406781084963</v>
      </c>
      <c r="D201">
        <v>1.91</v>
      </c>
      <c r="E201">
        <f t="shared" si="5"/>
        <v>8.8720332643374838E-3</v>
      </c>
    </row>
    <row r="202" spans="2:5" x14ac:dyDescent="0.2">
      <c r="B202">
        <v>1.92</v>
      </c>
      <c r="C202">
        <f t="shared" si="4"/>
        <v>-0.15868982359878642</v>
      </c>
      <c r="D202">
        <v>1.92</v>
      </c>
      <c r="E202">
        <f t="shared" si="5"/>
        <v>6.9070430615062947E-3</v>
      </c>
    </row>
    <row r="203" spans="2:5" x14ac:dyDescent="0.2">
      <c r="B203">
        <v>1.93</v>
      </c>
      <c r="C203">
        <f t="shared" ref="C203:C241" si="6">$F$5*SIN($G$5*B203+$H$5)+$J$5*SIN($K$5*B203+$L$5)</f>
        <v>-0.16673000312520561</v>
      </c>
      <c r="D203">
        <v>1.93</v>
      </c>
      <c r="E203">
        <f t="shared" ref="E203:E242" si="7">$N$5*SIN($O$5*D203+$P$5)+$R$5*SIN($S$5*D203+$T$5)</f>
        <v>4.8730399675694092E-3</v>
      </c>
    </row>
    <row r="204" spans="2:5" x14ac:dyDescent="0.2">
      <c r="B204">
        <v>1.94</v>
      </c>
      <c r="C204">
        <f t="shared" si="6"/>
        <v>-0.17310427157400898</v>
      </c>
      <c r="D204">
        <v>1.94</v>
      </c>
      <c r="E204">
        <f t="shared" si="7"/>
        <v>2.7903470690894966E-3</v>
      </c>
    </row>
    <row r="205" spans="2:5" x14ac:dyDescent="0.2">
      <c r="B205">
        <v>1.95</v>
      </c>
      <c r="C205">
        <f t="shared" si="6"/>
        <v>-0.17774893936190961</v>
      </c>
      <c r="D205">
        <v>1.95</v>
      </c>
      <c r="E205">
        <f t="shared" si="7"/>
        <v>6.7977394506127733E-4</v>
      </c>
    </row>
    <row r="206" spans="2:5" x14ac:dyDescent="0.2">
      <c r="B206">
        <v>1.96</v>
      </c>
      <c r="C206">
        <f t="shared" si="6"/>
        <v>-0.18061759850369352</v>
      </c>
      <c r="D206">
        <v>1.96</v>
      </c>
      <c r="E206">
        <f t="shared" si="7"/>
        <v>-1.4375912555225981E-3</v>
      </c>
    </row>
    <row r="207" spans="2:5" x14ac:dyDescent="0.2">
      <c r="B207">
        <v>1.97</v>
      </c>
      <c r="C207">
        <f t="shared" si="6"/>
        <v>-0.18168158630546868</v>
      </c>
      <c r="D207">
        <v>1.97</v>
      </c>
      <c r="E207">
        <f t="shared" si="7"/>
        <v>-3.540592519485717E-3</v>
      </c>
    </row>
    <row r="208" spans="2:5" x14ac:dyDescent="0.2">
      <c r="B208">
        <v>1.98</v>
      </c>
      <c r="C208">
        <f t="shared" si="6"/>
        <v>-0.18093027175282744</v>
      </c>
      <c r="D208">
        <v>1.98</v>
      </c>
      <c r="E208">
        <f t="shared" si="7"/>
        <v>-5.6082173533584861E-3</v>
      </c>
    </row>
    <row r="209" spans="2:5" x14ac:dyDescent="0.2">
      <c r="B209">
        <v>1.99</v>
      </c>
      <c r="C209">
        <f t="shared" si="6"/>
        <v>-0.1783711617324282</v>
      </c>
      <c r="D209">
        <v>1.99</v>
      </c>
      <c r="E209">
        <f t="shared" si="7"/>
        <v>-7.6198067332666104E-3</v>
      </c>
    </row>
    <row r="210" spans="2:5" x14ac:dyDescent="0.2">
      <c r="B210">
        <v>2</v>
      </c>
      <c r="C210">
        <f t="shared" si="6"/>
        <v>-0.17402982602566541</v>
      </c>
      <c r="D210">
        <v>2</v>
      </c>
      <c r="E210">
        <f t="shared" si="7"/>
        <v>-9.5552615230692309E-3</v>
      </c>
    </row>
    <row r="211" spans="2:5" x14ac:dyDescent="0.2">
      <c r="B211">
        <v>2.0099999999999998</v>
      </c>
      <c r="C211">
        <f t="shared" si="6"/>
        <v>-0.16794964182386649</v>
      </c>
      <c r="D211">
        <v>2.0099999999999998</v>
      </c>
      <c r="E211">
        <f t="shared" si="7"/>
        <v>-1.1395243298282801E-2</v>
      </c>
    </row>
    <row r="212" spans="2:5" x14ac:dyDescent="0.2">
      <c r="B212">
        <v>2.02</v>
      </c>
      <c r="C212">
        <f t="shared" si="6"/>
        <v>-0.16019136031773371</v>
      </c>
      <c r="D212">
        <v>2.02</v>
      </c>
      <c r="E212">
        <f t="shared" si="7"/>
        <v>-1.3121367569226623E-2</v>
      </c>
    </row>
    <row r="213" spans="2:5" x14ac:dyDescent="0.2">
      <c r="B213">
        <v>2.0299999999999998</v>
      </c>
      <c r="C213">
        <f t="shared" si="6"/>
        <v>-0.15083249969153001</v>
      </c>
      <c r="D213">
        <v>2.0299999999999998</v>
      </c>
      <c r="E213">
        <f t="shared" si="7"/>
        <v>-1.4716387472766129E-2</v>
      </c>
    </row>
    <row r="214" spans="2:5" x14ac:dyDescent="0.2">
      <c r="B214">
        <v>2.04</v>
      </c>
      <c r="C214">
        <f t="shared" si="6"/>
        <v>-0.13996657058700374</v>
      </c>
      <c r="D214">
        <v>2.04</v>
      </c>
      <c r="E214">
        <f t="shared" si="7"/>
        <v>-1.6164366097268741E-2</v>
      </c>
    </row>
    <row r="215" spans="2:5" x14ac:dyDescent="0.2">
      <c r="B215">
        <v>2.0499999999999998</v>
      </c>
      <c r="C215">
        <f t="shared" si="6"/>
        <v>-0.127702141775969</v>
      </c>
      <c r="D215">
        <v>2.0499999999999998</v>
      </c>
      <c r="E215">
        <f t="shared" si="7"/>
        <v>-1.7450835718956483E-2</v>
      </c>
    </row>
    <row r="216" spans="2:5" x14ac:dyDescent="0.2">
      <c r="B216">
        <v>2.06</v>
      </c>
      <c r="C216">
        <f t="shared" si="6"/>
        <v>-0.11416175537702453</v>
      </c>
      <c r="D216">
        <v>2.06</v>
      </c>
      <c r="E216">
        <f t="shared" si="7"/>
        <v>-1.8562942358619758E-2</v>
      </c>
    </row>
    <row r="217" spans="2:5" x14ac:dyDescent="0.2">
      <c r="B217">
        <v>2.0699999999999998</v>
      </c>
      <c r="C217">
        <f t="shared" si="6"/>
        <v>-9.94807024552124E-2</v>
      </c>
      <c r="D217">
        <v>2.0699999999999998</v>
      </c>
      <c r="E217">
        <f t="shared" si="7"/>
        <v>-1.9489574214328592E-2</v>
      </c>
    </row>
    <row r="218" spans="2:5" x14ac:dyDescent="0.2">
      <c r="B218">
        <v>2.08</v>
      </c>
      <c r="C218">
        <f t="shared" si="6"/>
        <v>-8.3805671238415452E-2</v>
      </c>
      <c r="D218">
        <v>2.08</v>
      </c>
      <c r="E218">
        <f t="shared" si="7"/>
        <v>-2.0221472686884588E-2</v>
      </c>
    </row>
    <row r="219" spans="2:5" x14ac:dyDescent="0.2">
      <c r="B219">
        <v>2.09</v>
      </c>
      <c r="C219">
        <f t="shared" si="6"/>
        <v>-6.7293281457076651E-2</v>
      </c>
      <c r="D219">
        <v>2.09</v>
      </c>
      <c r="E219">
        <f t="shared" si="7"/>
        <v>-2.0751324888683378E-2</v>
      </c>
    </row>
    <row r="220" spans="2:5" x14ac:dyDescent="0.2">
      <c r="B220">
        <v>2.1</v>
      </c>
      <c r="C220">
        <f t="shared" si="6"/>
        <v>-5.0108519451619538E-2</v>
      </c>
      <c r="D220">
        <v>2.1</v>
      </c>
      <c r="E220">
        <f t="shared" si="7"/>
        <v>-2.1073836711670464E-2</v>
      </c>
    </row>
    <row r="221" spans="2:5" x14ac:dyDescent="0.2">
      <c r="B221">
        <v>2.11</v>
      </c>
      <c r="C221">
        <f t="shared" si="6"/>
        <v>-3.2423089683476812E-2</v>
      </c>
      <c r="D221">
        <v>2.11</v>
      </c>
      <c r="E221">
        <f t="shared" si="7"/>
        <v>-2.1185785724318812E-2</v>
      </c>
    </row>
    <row r="222" spans="2:5" x14ac:dyDescent="0.2">
      <c r="B222">
        <v>2.12</v>
      </c>
      <c r="C222">
        <f t="shared" si="6"/>
        <v>-1.4413699120864008E-2</v>
      </c>
      <c r="D222">
        <v>2.12</v>
      </c>
      <c r="E222">
        <f t="shared" si="7"/>
        <v>-2.1086053369099439E-2</v>
      </c>
    </row>
    <row r="223" spans="2:5" x14ac:dyDescent="0.2">
      <c r="B223">
        <v>2.13</v>
      </c>
      <c r="C223">
        <f t="shared" si="6"/>
        <v>3.7397083588270666E-3</v>
      </c>
      <c r="D223">
        <v>2.13</v>
      </c>
      <c r="E223">
        <f t="shared" si="7"/>
        <v>-2.0775636138738576E-2</v>
      </c>
    </row>
    <row r="224" spans="2:5" x14ac:dyDescent="0.2">
      <c r="B224">
        <v>2.14</v>
      </c>
      <c r="C224">
        <f t="shared" si="6"/>
        <v>2.1855749908781912E-2</v>
      </c>
      <c r="D224">
        <v>2.14</v>
      </c>
      <c r="E224">
        <f t="shared" si="7"/>
        <v>-2.0257635619591652E-2</v>
      </c>
    </row>
    <row r="225" spans="2:5" x14ac:dyDescent="0.2">
      <c r="B225">
        <v>2.15</v>
      </c>
      <c r="C225">
        <f t="shared" si="6"/>
        <v>3.9753416030197303E-2</v>
      </c>
      <c r="D225">
        <v>2.15</v>
      </c>
      <c r="E225">
        <f t="shared" si="7"/>
        <v>-1.9537227501617849E-2</v>
      </c>
    </row>
    <row r="226" spans="2:5" x14ac:dyDescent="0.2">
      <c r="B226">
        <v>2.16</v>
      </c>
      <c r="C226">
        <f t="shared" si="6"/>
        <v>5.7253879159371843E-2</v>
      </c>
      <c r="D226">
        <v>2.16</v>
      </c>
      <c r="E226">
        <f t="shared" si="7"/>
        <v>-1.8621609864596628E-2</v>
      </c>
    </row>
    <row r="227" spans="2:5" x14ac:dyDescent="0.2">
      <c r="B227">
        <v>2.17</v>
      </c>
      <c r="C227">
        <f t="shared" si="6"/>
        <v>7.4182280453601576E-2</v>
      </c>
      <c r="D227">
        <v>2.17</v>
      </c>
      <c r="E227">
        <f t="shared" si="7"/>
        <v>-1.751993125729423E-2</v>
      </c>
    </row>
    <row r="228" spans="2:5" x14ac:dyDescent="0.2">
      <c r="B228">
        <v>2.1800000000000002</v>
      </c>
      <c r="C228">
        <f t="shared" si="6"/>
        <v>9.03694769229412E-2</v>
      </c>
      <c r="D228">
        <v>2.1800000000000002</v>
      </c>
      <c r="E228">
        <f t="shared" si="7"/>
        <v>-1.6243199288188209E-2</v>
      </c>
    </row>
    <row r="229" spans="2:5" x14ac:dyDescent="0.2">
      <c r="B229">
        <v>2.19</v>
      </c>
      <c r="C229">
        <f t="shared" si="6"/>
        <v>0.10565373145104374</v>
      </c>
      <c r="D229">
        <v>2.19</v>
      </c>
      <c r="E229">
        <f t="shared" si="7"/>
        <v>-1.4804170641082477E-2</v>
      </c>
    </row>
    <row r="230" spans="2:5" x14ac:dyDescent="0.2">
      <c r="B230">
        <v>2.2000000000000002</v>
      </c>
      <c r="C230">
        <f t="shared" si="6"/>
        <v>0.11988232881896826</v>
      </c>
      <c r="D230">
        <v>2.2000000000000002</v>
      </c>
      <c r="E230">
        <f t="shared" si="7"/>
        <v>-1.3217223614539197E-2</v>
      </c>
    </row>
    <row r="231" spans="2:5" x14ac:dyDescent="0.2">
      <c r="B231">
        <v>2.21</v>
      </c>
      <c r="C231">
        <f t="shared" si="6"/>
        <v>0.1329131015851629</v>
      </c>
      <c r="D231">
        <v>2.21</v>
      </c>
      <c r="E231">
        <f t="shared" si="7"/>
        <v>-1.1498214458672683E-2</v>
      </c>
    </row>
    <row r="232" spans="2:5" x14ac:dyDescent="0.2">
      <c r="B232">
        <v>2.2200000000000002</v>
      </c>
      <c r="C232">
        <f t="shared" si="6"/>
        <v>0.1446158505755486</v>
      </c>
      <c r="D232">
        <v>2.2200000000000002</v>
      </c>
      <c r="E232">
        <f t="shared" si="7"/>
        <v>-9.6643189447394792E-3</v>
      </c>
    </row>
    <row r="233" spans="2:5" x14ac:dyDescent="0.2">
      <c r="B233">
        <v>2.23</v>
      </c>
      <c r="C233">
        <f t="shared" si="6"/>
        <v>0.1548736457906276</v>
      </c>
      <c r="D233">
        <v>2.23</v>
      </c>
      <c r="E233">
        <f t="shared" si="7"/>
        <v>-7.7338607505096149E-3</v>
      </c>
    </row>
    <row r="234" spans="2:5" x14ac:dyDescent="0.2">
      <c r="B234">
        <v>2.2400000000000002</v>
      </c>
      <c r="C234">
        <f t="shared" si="6"/>
        <v>0.16358399473138782</v>
      </c>
      <c r="D234">
        <v>2.2400000000000002</v>
      </c>
      <c r="E234">
        <f t="shared" si="7"/>
        <v>-5.7261283761350645E-3</v>
      </c>
    </row>
    <row r="235" spans="2:5" x14ac:dyDescent="0.2">
      <c r="B235">
        <v>2.25</v>
      </c>
      <c r="C235">
        <f t="shared" si="6"/>
        <v>0.17065986647047116</v>
      </c>
      <c r="D235">
        <v>2.25</v>
      </c>
      <c r="E235">
        <f t="shared" si="7"/>
        <v>-3.6611824198326329E-3</v>
      </c>
    </row>
    <row r="236" spans="2:5" x14ac:dyDescent="0.2">
      <c r="B236">
        <v>2.2599999999999998</v>
      </c>
      <c r="C236">
        <f t="shared" si="6"/>
        <v>0.17603056123643324</v>
      </c>
      <c r="D236">
        <v>2.2599999999999998</v>
      </c>
      <c r="E236">
        <f t="shared" si="7"/>
        <v>-1.5596551390172353E-3</v>
      </c>
    </row>
    <row r="237" spans="2:5" x14ac:dyDescent="0.2">
      <c r="B237">
        <v>2.27</v>
      </c>
      <c r="C237">
        <f t="shared" si="6"/>
        <v>0.17964241682248833</v>
      </c>
      <c r="D237">
        <v>2.27</v>
      </c>
      <c r="E237">
        <f t="shared" si="7"/>
        <v>5.5745570039384545E-4</v>
      </c>
    </row>
    <row r="238" spans="2:5" x14ac:dyDescent="0.2">
      <c r="B238">
        <v>2.2799999999999998</v>
      </c>
      <c r="C238">
        <f t="shared" si="6"/>
        <v>0.18145934476154096</v>
      </c>
      <c r="D238">
        <v>2.2799999999999998</v>
      </c>
      <c r="E238">
        <f t="shared" si="7"/>
        <v>2.6689966267168796E-3</v>
      </c>
    </row>
    <row r="239" spans="2:5" x14ac:dyDescent="0.2">
      <c r="B239">
        <v>2.29</v>
      </c>
      <c r="C239">
        <f t="shared" si="6"/>
        <v>0.18146319091022092</v>
      </c>
      <c r="D239">
        <v>2.29</v>
      </c>
      <c r="E239">
        <f t="shared" si="7"/>
        <v>4.7538698209988149E-3</v>
      </c>
    </row>
    <row r="240" spans="2:5" x14ac:dyDescent="0.2">
      <c r="B240">
        <v>2.2999999999999998</v>
      </c>
      <c r="C240">
        <f t="shared" si="6"/>
        <v>0.17965391683908175</v>
      </c>
      <c r="D240">
        <v>2.2999999999999998</v>
      </c>
      <c r="E240">
        <f t="shared" si="7"/>
        <v>6.7912439194497661E-3</v>
      </c>
    </row>
    <row r="241" spans="2:5" x14ac:dyDescent="0.2">
      <c r="B241">
        <v>2.31</v>
      </c>
      <c r="C241">
        <f t="shared" si="6"/>
        <v>0.17604960021657579</v>
      </c>
      <c r="D241">
        <v>2.31</v>
      </c>
      <c r="E241">
        <f t="shared" si="7"/>
        <v>8.7607621535443492E-3</v>
      </c>
    </row>
    <row r="242" spans="2:5" x14ac:dyDescent="0.2">
      <c r="B242">
        <v>2.3199999999999998</v>
      </c>
      <c r="C242">
        <f>$F$5*SIN($G$5*B242+$H$5)+$J$5*SIN($K$5*B242+$L$5)</f>
        <v>0.17068625418296673</v>
      </c>
      <c r="D242">
        <v>2.3199999999999998</v>
      </c>
      <c r="E242">
        <f t="shared" si="7"/>
        <v>1.0642745748123596E-2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2"/>
  <dimension ref="A2:P35"/>
  <sheetViews>
    <sheetView zoomScale="80" zoomScaleNormal="80" workbookViewId="0">
      <selection activeCell="O36" sqref="O36"/>
    </sheetView>
  </sheetViews>
  <sheetFormatPr defaultRowHeight="12.75" x14ac:dyDescent="0.2"/>
  <sheetData>
    <row r="2" spans="1:16" ht="20.25" x14ac:dyDescent="0.3">
      <c r="B2" s="26" t="s">
        <v>63</v>
      </c>
      <c r="C2" s="26"/>
      <c r="D2" s="30" t="s">
        <v>66</v>
      </c>
      <c r="E2" s="26"/>
      <c r="F2" s="26"/>
      <c r="G2" s="26"/>
    </row>
    <row r="3" spans="1:16" ht="20.25" x14ac:dyDescent="0.3">
      <c r="B3" s="26"/>
      <c r="C3" s="26" t="s">
        <v>64</v>
      </c>
      <c r="D3" s="26"/>
      <c r="E3" s="26"/>
      <c r="F3" s="26"/>
      <c r="G3" s="26"/>
    </row>
    <row r="4" spans="1:16" ht="20.25" x14ac:dyDescent="0.3">
      <c r="B4" s="26"/>
      <c r="C4" s="26"/>
      <c r="D4" s="26" t="s">
        <v>65</v>
      </c>
      <c r="E4" s="26"/>
      <c r="F4" s="26"/>
      <c r="G4" s="26"/>
      <c r="P4" s="33" t="s">
        <v>78</v>
      </c>
    </row>
    <row r="5" spans="1:16" ht="22.5" thickBot="1" x14ac:dyDescent="0.4">
      <c r="B5" s="26"/>
      <c r="C5" s="31" t="s">
        <v>39</v>
      </c>
      <c r="D5" s="32" t="s">
        <v>0</v>
      </c>
      <c r="E5" s="31" t="s">
        <v>40</v>
      </c>
      <c r="F5" s="32" t="s">
        <v>1</v>
      </c>
      <c r="G5" s="32" t="s">
        <v>2</v>
      </c>
    </row>
    <row r="6" spans="1:16" ht="21" thickBot="1" x14ac:dyDescent="0.35">
      <c r="B6" s="26"/>
      <c r="C6" s="115">
        <v>5</v>
      </c>
      <c r="D6" s="114">
        <v>3</v>
      </c>
      <c r="E6" s="26">
        <f>C6*SQRT(D6^2-1)</f>
        <v>14.142135623730951</v>
      </c>
      <c r="F6" s="26">
        <v>2</v>
      </c>
      <c r="G6" s="26">
        <v>1</v>
      </c>
    </row>
    <row r="9" spans="1:16" ht="15.75" x14ac:dyDescent="0.3">
      <c r="A9" t="s">
        <v>3</v>
      </c>
      <c r="B9" t="s">
        <v>4</v>
      </c>
      <c r="C9" s="2" t="s">
        <v>117</v>
      </c>
    </row>
    <row r="10" spans="1:16" x14ac:dyDescent="0.2">
      <c r="A10">
        <v>0</v>
      </c>
      <c r="B10">
        <f>EXP(-$D$6*$C$6*A10)*($F$6*EXP($E$6*A10)+$G$6*EXP(-$E$6*A10))</f>
        <v>3</v>
      </c>
      <c r="C10">
        <f>EXP(-$C$6*A10)*($F$6*A10+$G$6)</f>
        <v>1</v>
      </c>
    </row>
    <row r="11" spans="1:16" x14ac:dyDescent="0.2">
      <c r="A11">
        <v>0.1</v>
      </c>
      <c r="B11">
        <f t="shared" ref="B11:B35" si="0">EXP(-$D$6*$C$6*A11)*($F$6*EXP($E$6*A11)+$G$6*EXP(-$E$6*A11))</f>
        <v>1.8898271073859179</v>
      </c>
      <c r="C11">
        <f t="shared" ref="C11:C35" si="1">EXP(-$C$6*A11)*($F$6*A11+$G$6)</f>
        <v>0.72783679165516013</v>
      </c>
    </row>
    <row r="12" spans="1:16" x14ac:dyDescent="0.2">
      <c r="A12">
        <v>0.2</v>
      </c>
      <c r="B12">
        <f t="shared" si="0"/>
        <v>1.6876204620920925</v>
      </c>
      <c r="C12">
        <f t="shared" si="1"/>
        <v>0.51503121764001925</v>
      </c>
    </row>
    <row r="13" spans="1:16" x14ac:dyDescent="0.2">
      <c r="A13">
        <v>0.3</v>
      </c>
      <c r="B13">
        <f t="shared" si="0"/>
        <v>1.5463403968369622</v>
      </c>
      <c r="C13">
        <f t="shared" si="1"/>
        <v>0.35700825623748772</v>
      </c>
    </row>
    <row r="14" spans="1:16" x14ac:dyDescent="0.2">
      <c r="A14">
        <v>0.4</v>
      </c>
      <c r="B14">
        <f t="shared" si="0"/>
        <v>1.4190782374297053</v>
      </c>
      <c r="C14">
        <f t="shared" si="1"/>
        <v>0.24360350982590287</v>
      </c>
    </row>
    <row r="15" spans="1:16" x14ac:dyDescent="0.2">
      <c r="A15">
        <v>0.5</v>
      </c>
      <c r="B15">
        <f t="shared" si="0"/>
        <v>1.3024086438442721</v>
      </c>
      <c r="C15">
        <f t="shared" si="1"/>
        <v>0.1641699972477976</v>
      </c>
    </row>
    <row r="16" spans="1:16" x14ac:dyDescent="0.2">
      <c r="A16">
        <v>0.6</v>
      </c>
      <c r="B16">
        <f t="shared" si="0"/>
        <v>1.1953375045779284</v>
      </c>
      <c r="C16">
        <f t="shared" si="1"/>
        <v>0.10953155040930068</v>
      </c>
    </row>
    <row r="17" spans="1:3" x14ac:dyDescent="0.2">
      <c r="A17">
        <v>0.7</v>
      </c>
      <c r="B17">
        <f t="shared" si="0"/>
        <v>1.0970690442136772</v>
      </c>
      <c r="C17">
        <f t="shared" si="1"/>
        <v>7.2473720213564394E-2</v>
      </c>
    </row>
    <row r="18" spans="1:3" x14ac:dyDescent="0.2">
      <c r="A18">
        <v>0.8</v>
      </c>
      <c r="B18">
        <f t="shared" si="0"/>
        <v>1.0068792335860863</v>
      </c>
      <c r="C18">
        <f t="shared" si="1"/>
        <v>4.7620661110708867E-2</v>
      </c>
    </row>
    <row r="19" spans="1:3" x14ac:dyDescent="0.2">
      <c r="A19">
        <v>0.9</v>
      </c>
      <c r="B19">
        <f t="shared" si="0"/>
        <v>0.92410390896082861</v>
      </c>
      <c r="C19">
        <f t="shared" si="1"/>
        <v>3.1105190307078454E-2</v>
      </c>
    </row>
    <row r="20" spans="1:3" x14ac:dyDescent="0.2">
      <c r="A20">
        <v>1</v>
      </c>
      <c r="B20">
        <f t="shared" si="0"/>
        <v>0.84813352597560754</v>
      </c>
      <c r="C20">
        <f t="shared" si="1"/>
        <v>2.0213840997256399E-2</v>
      </c>
    </row>
    <row r="21" spans="1:3" x14ac:dyDescent="0.2">
      <c r="A21">
        <v>1.1000000000000001</v>
      </c>
      <c r="B21">
        <f t="shared" si="0"/>
        <v>0.77840865178843477</v>
      </c>
      <c r="C21">
        <f t="shared" si="1"/>
        <v>1.3077668603085013E-2</v>
      </c>
    </row>
    <row r="22" spans="1:3" x14ac:dyDescent="0.2">
      <c r="A22">
        <v>1.2</v>
      </c>
      <c r="B22">
        <f t="shared" si="0"/>
        <v>0.71441584446533524</v>
      </c>
      <c r="C22">
        <f t="shared" si="1"/>
        <v>8.427757400665618E-3</v>
      </c>
    </row>
    <row r="23" spans="1:3" x14ac:dyDescent="0.2">
      <c r="A23">
        <v>1.3</v>
      </c>
      <c r="B23">
        <f t="shared" si="0"/>
        <v>0.65568387202593492</v>
      </c>
      <c r="C23">
        <f t="shared" si="1"/>
        <v>5.412381094719261E-3</v>
      </c>
    </row>
    <row r="24" spans="1:3" x14ac:dyDescent="0.2">
      <c r="A24">
        <v>1.4</v>
      </c>
      <c r="B24">
        <f t="shared" si="0"/>
        <v>0.60178024236944339</v>
      </c>
      <c r="C24">
        <f t="shared" si="1"/>
        <v>3.4651514691071616E-3</v>
      </c>
    </row>
    <row r="25" spans="1:3" x14ac:dyDescent="0.2">
      <c r="A25">
        <v>1.5</v>
      </c>
      <c r="B25">
        <f t="shared" si="0"/>
        <v>0.55230801847739097</v>
      </c>
      <c r="C25">
        <f t="shared" si="1"/>
        <v>2.2123374805913345E-3</v>
      </c>
    </row>
    <row r="26" spans="1:3" x14ac:dyDescent="0.2">
      <c r="A26">
        <v>1.6</v>
      </c>
      <c r="B26">
        <f t="shared" si="0"/>
        <v>0.50690289543794975</v>
      </c>
      <c r="C26">
        <f t="shared" si="1"/>
        <v>1.4089430371905499E-3</v>
      </c>
    </row>
    <row r="27" spans="1:3" x14ac:dyDescent="0.2">
      <c r="A27">
        <v>1.7</v>
      </c>
      <c r="B27">
        <f t="shared" si="0"/>
        <v>0.46523051776749552</v>
      </c>
      <c r="C27">
        <f t="shared" si="1"/>
        <v>8.9526082364683437E-4</v>
      </c>
    </row>
    <row r="28" spans="1:3" x14ac:dyDescent="0.2">
      <c r="A28">
        <v>1.8</v>
      </c>
      <c r="B28">
        <f t="shared" si="0"/>
        <v>0.42698401727458263</v>
      </c>
      <c r="C28">
        <f t="shared" si="1"/>
        <v>5.6768509879872588E-4</v>
      </c>
    </row>
    <row r="29" spans="1:3" x14ac:dyDescent="0.2">
      <c r="A29">
        <v>1.9</v>
      </c>
      <c r="B29">
        <f t="shared" si="0"/>
        <v>0.39188175333556707</v>
      </c>
      <c r="C29">
        <f t="shared" si="1"/>
        <v>3.5928878346096286E-4</v>
      </c>
    </row>
    <row r="30" spans="1:3" x14ac:dyDescent="0.2">
      <c r="A30">
        <v>2</v>
      </c>
      <c r="B30">
        <f t="shared" si="0"/>
        <v>0.35966523894172114</v>
      </c>
      <c r="C30">
        <f t="shared" si="1"/>
        <v>2.2699964881242428E-4</v>
      </c>
    </row>
    <row r="31" spans="1:3" x14ac:dyDescent="0.2">
      <c r="A31">
        <v>2.1</v>
      </c>
      <c r="B31">
        <f t="shared" si="0"/>
        <v>0.33009723724553108</v>
      </c>
      <c r="C31">
        <f t="shared" si="1"/>
        <v>1.4318953661868522E-4</v>
      </c>
    </row>
    <row r="32" spans="1:3" x14ac:dyDescent="0.2">
      <c r="A32">
        <v>2.2000000000000002</v>
      </c>
      <c r="B32">
        <f t="shared" si="0"/>
        <v>0.30296001458953503</v>
      </c>
      <c r="C32">
        <f t="shared" si="1"/>
        <v>9.0189184267326563E-5</v>
      </c>
    </row>
    <row r="33" spans="1:3" x14ac:dyDescent="0.2">
      <c r="A33">
        <v>2.2999999999999998</v>
      </c>
      <c r="B33">
        <f t="shared" si="0"/>
        <v>0.27805373715327431</v>
      </c>
      <c r="C33">
        <f t="shared" si="1"/>
        <v>5.6728524152331974E-5</v>
      </c>
    </row>
    <row r="34" spans="1:3" x14ac:dyDescent="0.2">
      <c r="A34">
        <v>2.4</v>
      </c>
      <c r="B34">
        <f t="shared" si="0"/>
        <v>0.25519499941155854</v>
      </c>
      <c r="C34">
        <f t="shared" si="1"/>
        <v>3.5636431649303617E-5</v>
      </c>
    </row>
    <row r="35" spans="1:3" x14ac:dyDescent="0.2">
      <c r="A35">
        <v>2.5</v>
      </c>
      <c r="B35">
        <f t="shared" si="0"/>
        <v>0.23421547356785433</v>
      </c>
      <c r="C35">
        <f t="shared" si="1"/>
        <v>2.2359919032472026E-5</v>
      </c>
    </row>
  </sheetData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C242"/>
  <sheetViews>
    <sheetView zoomScale="60" zoomScaleNormal="60" workbookViewId="0">
      <selection activeCell="L38" sqref="L38"/>
    </sheetView>
  </sheetViews>
  <sheetFormatPr defaultRowHeight="12.75" x14ac:dyDescent="0.2"/>
  <sheetData>
    <row r="1" spans="2:29" ht="18" x14ac:dyDescent="0.25">
      <c r="C1" s="2"/>
      <c r="G1" s="18" t="s">
        <v>280</v>
      </c>
      <c r="T1" s="18" t="s">
        <v>281</v>
      </c>
    </row>
    <row r="2" spans="2:29" x14ac:dyDescent="0.2">
      <c r="H2" s="2" t="s">
        <v>186</v>
      </c>
      <c r="U2" s="2" t="s">
        <v>187</v>
      </c>
    </row>
    <row r="3" spans="2:29" ht="18" x14ac:dyDescent="0.25">
      <c r="F3" s="34" t="s">
        <v>35</v>
      </c>
      <c r="G3" s="34" t="s">
        <v>48</v>
      </c>
      <c r="H3" s="34"/>
      <c r="I3" s="34" t="s">
        <v>35</v>
      </c>
      <c r="J3" s="34" t="s">
        <v>48</v>
      </c>
      <c r="K3" s="34"/>
      <c r="L3" s="34" t="s">
        <v>35</v>
      </c>
      <c r="M3" s="34" t="s">
        <v>48</v>
      </c>
      <c r="N3" s="34"/>
      <c r="O3" s="34" t="s">
        <v>35</v>
      </c>
      <c r="P3" s="34" t="s">
        <v>48</v>
      </c>
      <c r="Q3" s="34"/>
      <c r="R3" s="34"/>
      <c r="S3" s="34" t="s">
        <v>35</v>
      </c>
      <c r="T3" s="34" t="s">
        <v>48</v>
      </c>
      <c r="U3" s="34"/>
      <c r="V3" s="34" t="s">
        <v>35</v>
      </c>
      <c r="W3" s="34" t="s">
        <v>48</v>
      </c>
      <c r="Y3" s="34" t="s">
        <v>35</v>
      </c>
      <c r="Z3" s="34" t="s">
        <v>48</v>
      </c>
      <c r="AA3" s="34"/>
      <c r="AB3" s="34" t="s">
        <v>35</v>
      </c>
      <c r="AC3" s="34" t="s">
        <v>48</v>
      </c>
    </row>
    <row r="4" spans="2:29" ht="18.75" thickBot="1" x14ac:dyDescent="0.3">
      <c r="F4" s="25" t="s">
        <v>158</v>
      </c>
      <c r="G4" s="25" t="s">
        <v>265</v>
      </c>
      <c r="H4" s="25"/>
      <c r="I4" s="25" t="s">
        <v>159</v>
      </c>
      <c r="J4" s="6" t="s">
        <v>221</v>
      </c>
      <c r="K4" s="6"/>
      <c r="L4" s="25" t="s">
        <v>160</v>
      </c>
      <c r="M4" s="6" t="s">
        <v>184</v>
      </c>
      <c r="N4" s="25"/>
      <c r="O4" s="25" t="s">
        <v>161</v>
      </c>
      <c r="P4" s="6" t="s">
        <v>184</v>
      </c>
      <c r="Q4" s="6"/>
      <c r="R4" s="25"/>
      <c r="S4" s="25" t="s">
        <v>188</v>
      </c>
      <c r="T4" s="25" t="s">
        <v>265</v>
      </c>
      <c r="U4" s="25"/>
      <c r="V4" s="25" t="s">
        <v>277</v>
      </c>
      <c r="W4" s="6" t="s">
        <v>221</v>
      </c>
      <c r="Y4" s="25" t="s">
        <v>278</v>
      </c>
      <c r="Z4" s="6" t="s">
        <v>184</v>
      </c>
      <c r="AA4" s="25"/>
      <c r="AB4" s="25" t="s">
        <v>279</v>
      </c>
      <c r="AC4" s="6" t="s">
        <v>184</v>
      </c>
    </row>
    <row r="5" spans="2:29" ht="18.75" thickBot="1" x14ac:dyDescent="0.3">
      <c r="F5" s="122">
        <v>6.0600000000000003E-3</v>
      </c>
      <c r="G5" s="124">
        <v>7.58</v>
      </c>
      <c r="H5" s="34"/>
      <c r="I5" s="122">
        <v>0</v>
      </c>
      <c r="J5" s="124">
        <v>6.63</v>
      </c>
      <c r="K5" s="97"/>
      <c r="L5" s="122">
        <v>0.16220999999999999</v>
      </c>
      <c r="M5" s="124">
        <v>14.74</v>
      </c>
      <c r="N5" s="97"/>
      <c r="O5" s="122">
        <v>0</v>
      </c>
      <c r="P5" s="124">
        <v>14.74</v>
      </c>
      <c r="Q5" s="97"/>
      <c r="R5" s="34"/>
      <c r="S5" s="122">
        <v>2.5799999999999998E-3</v>
      </c>
      <c r="T5" s="124">
        <v>7.58</v>
      </c>
      <c r="U5" s="34"/>
      <c r="V5" s="122">
        <v>0</v>
      </c>
      <c r="W5" s="124">
        <v>6.63</v>
      </c>
      <c r="Y5" s="93">
        <v>-1.524E-2</v>
      </c>
      <c r="Z5" s="93">
        <v>14.74</v>
      </c>
      <c r="AA5" s="97"/>
      <c r="AB5" s="93">
        <v>0</v>
      </c>
      <c r="AC5" s="93">
        <v>14.74</v>
      </c>
    </row>
    <row r="9" spans="2:29" x14ac:dyDescent="0.2">
      <c r="B9" s="94" t="s">
        <v>3</v>
      </c>
      <c r="C9" s="7" t="s">
        <v>186</v>
      </c>
      <c r="D9" s="94" t="s">
        <v>3</v>
      </c>
      <c r="E9" s="7" t="s">
        <v>187</v>
      </c>
    </row>
    <row r="10" spans="2:29" x14ac:dyDescent="0.2">
      <c r="B10" s="1">
        <v>0</v>
      </c>
      <c r="C10">
        <f>$F$5*COS($G$5*B10)+$I$5*SIN($J$5*B10)+$L$5*COS($M$5*B10)+$O$5*SIN($P$5*B10)</f>
        <v>0.16827</v>
      </c>
      <c r="D10" s="1">
        <v>0</v>
      </c>
      <c r="E10">
        <f>$S$5*COS($T$5*B10)+$V$5*SIN($W$5*B10)+$Y$5*COS($Z$5*B10)+$AB$5*SIN($AC$5*B10)</f>
        <v>-1.2660000000000001E-2</v>
      </c>
    </row>
    <row r="11" spans="2:29" x14ac:dyDescent="0.2">
      <c r="B11">
        <v>0.01</v>
      </c>
      <c r="C11">
        <f t="shared" ref="C11:C74" si="0">$F$5*COS($G$5*B11)+$I$5*SIN($J$5*B11)+$L$5*COS($M$5*B11)+$O$5*SIN($P$5*B11)</f>
        <v>0.1664936383474292</v>
      </c>
      <c r="D11">
        <v>0.01</v>
      </c>
      <c r="E11">
        <f t="shared" ref="E11:E74" si="1">$S$5*COS($T$5*B11)+$V$5*SIN($W$5*B11)+$Y$5*COS($Z$5*B11)+$AB$5*SIN($AC$5*B11)</f>
        <v>-1.2502149952327856E-2</v>
      </c>
    </row>
    <row r="12" spans="2:29" x14ac:dyDescent="0.2">
      <c r="B12">
        <v>0.02</v>
      </c>
      <c r="C12">
        <f t="shared" si="0"/>
        <v>0.16120280069506931</v>
      </c>
      <c r="D12">
        <v>0.02</v>
      </c>
      <c r="E12">
        <f t="shared" si="1"/>
        <v>-1.2032141296985798E-2</v>
      </c>
    </row>
    <row r="13" spans="2:29" x14ac:dyDescent="0.2">
      <c r="B13">
        <v>0.03</v>
      </c>
      <c r="C13">
        <f t="shared" si="0"/>
        <v>0.15251140106579247</v>
      </c>
      <c r="D13">
        <v>0.03</v>
      </c>
      <c r="E13">
        <f t="shared" si="1"/>
        <v>-1.1260521012792638E-2</v>
      </c>
    </row>
    <row r="14" spans="2:29" x14ac:dyDescent="0.2">
      <c r="B14">
        <v>0.04</v>
      </c>
      <c r="C14">
        <f t="shared" si="0"/>
        <v>0.1406065544661777</v>
      </c>
      <c r="D14">
        <v>0.04</v>
      </c>
      <c r="E14">
        <f t="shared" si="1"/>
        <v>-1.0204610801429167E-2</v>
      </c>
    </row>
    <row r="15" spans="2:29" x14ac:dyDescent="0.2">
      <c r="B15">
        <v>0.05</v>
      </c>
      <c r="C15">
        <f t="shared" si="0"/>
        <v>0.12574452676015141</v>
      </c>
      <c r="D15">
        <v>0.05</v>
      </c>
      <c r="E15">
        <f t="shared" si="1"/>
        <v>-8.888128051518434E-3</v>
      </c>
    </row>
    <row r="16" spans="2:29" x14ac:dyDescent="0.2">
      <c r="B16">
        <v>0.06</v>
      </c>
      <c r="C16">
        <f t="shared" si="0"/>
        <v>0.10824518794150791</v>
      </c>
      <c r="D16">
        <v>0.06</v>
      </c>
      <c r="E16">
        <f t="shared" si="1"/>
        <v>-7.3406667747586271E-3</v>
      </c>
    </row>
    <row r="17" spans="2:5" x14ac:dyDescent="0.2">
      <c r="B17">
        <v>7.0000000000000007E-2</v>
      </c>
      <c r="C17">
        <f t="shared" si="0"/>
        <v>8.8485089036368522E-2</v>
      </c>
      <c r="D17">
        <v>7.0000000000000007E-2</v>
      </c>
      <c r="E17">
        <f t="shared" si="1"/>
        <v>-5.5970497982387769E-3</v>
      </c>
    </row>
    <row r="18" spans="2:5" x14ac:dyDescent="0.2">
      <c r="B18">
        <v>0.08</v>
      </c>
      <c r="C18">
        <f t="shared" si="0"/>
        <v>6.6889312699130607E-2</v>
      </c>
      <c r="D18">
        <v>0.08</v>
      </c>
      <c r="E18">
        <f t="shared" si="1"/>
        <v>-3.696566296628818E-3</v>
      </c>
    </row>
    <row r="19" spans="2:5" x14ac:dyDescent="0.2">
      <c r="B19">
        <v>0.09</v>
      </c>
      <c r="C19">
        <f t="shared" si="0"/>
        <v>4.3922274143916876E-2</v>
      </c>
      <c r="D19">
        <v>0.09</v>
      </c>
      <c r="E19">
        <f t="shared" si="1"/>
        <v>-1.682111241859924E-3</v>
      </c>
    </row>
    <row r="20" spans="2:5" x14ac:dyDescent="0.2">
      <c r="B20">
        <v>0.1</v>
      </c>
      <c r="C20">
        <f t="shared" si="0"/>
        <v>2.0077671801642025E-2</v>
      </c>
      <c r="D20">
        <v>0.1</v>
      </c>
      <c r="E20">
        <f t="shared" si="1"/>
        <v>4.0075451792973699E-4</v>
      </c>
    </row>
    <row r="21" spans="2:5" x14ac:dyDescent="0.2">
      <c r="B21">
        <v>0.11</v>
      </c>
      <c r="C21">
        <f t="shared" si="0"/>
        <v>-4.1321944826866602E-3</v>
      </c>
      <c r="D21">
        <v>0.11</v>
      </c>
      <c r="E21">
        <f t="shared" si="1"/>
        <v>2.5048031103395976E-3</v>
      </c>
    </row>
    <row r="22" spans="2:5" x14ac:dyDescent="0.2">
      <c r="B22">
        <v>0.12</v>
      </c>
      <c r="C22">
        <f t="shared" si="0"/>
        <v>-2.818750619641746E-2</v>
      </c>
      <c r="D22">
        <v>0.12</v>
      </c>
      <c r="E22">
        <f t="shared" si="1"/>
        <v>4.5821756972343163E-3</v>
      </c>
    </row>
    <row r="23" spans="2:5" x14ac:dyDescent="0.2">
      <c r="B23">
        <v>0.13</v>
      </c>
      <c r="C23">
        <f t="shared" si="0"/>
        <v>-5.1572169652189005E-2</v>
      </c>
      <c r="D23">
        <v>0.13</v>
      </c>
      <c r="E23">
        <f t="shared" si="1"/>
        <v>6.5854332025833051E-3</v>
      </c>
    </row>
    <row r="24" spans="2:5" x14ac:dyDescent="0.2">
      <c r="B24">
        <v>0.14000000000000001</v>
      </c>
      <c r="C24">
        <f t="shared" si="0"/>
        <v>-7.3784976557200635E-2</v>
      </c>
      <c r="D24">
        <v>0.14000000000000001</v>
      </c>
      <c r="E24">
        <f t="shared" si="1"/>
        <v>8.4685988485429485E-3</v>
      </c>
    </row>
    <row r="25" spans="2:5" x14ac:dyDescent="0.2">
      <c r="B25">
        <v>0.15</v>
      </c>
      <c r="C25">
        <f t="shared" si="0"/>
        <v>-9.4350439799368732E-2</v>
      </c>
      <c r="D25">
        <v>0.15</v>
      </c>
      <c r="E25">
        <f t="shared" si="1"/>
        <v>1.0188169811134065E-2</v>
      </c>
    </row>
    <row r="26" spans="2:5" x14ac:dyDescent="0.2">
      <c r="B26">
        <v>0.16</v>
      </c>
      <c r="C26">
        <f t="shared" si="0"/>
        <v>-0.11282906964587473</v>
      </c>
      <c r="D26">
        <v>0.16</v>
      </c>
      <c r="E26">
        <f t="shared" si="1"/>
        <v>1.1704075971799932E-2</v>
      </c>
    </row>
    <row r="27" spans="2:5" x14ac:dyDescent="0.2">
      <c r="B27">
        <v>0.17</v>
      </c>
      <c r="C27">
        <f t="shared" si="0"/>
        <v>-0.12882686769575183</v>
      </c>
      <c r="D27">
        <v>0.17</v>
      </c>
      <c r="E27">
        <f t="shared" si="1"/>
        <v>1.2980564884180668E-2</v>
      </c>
    </row>
    <row r="28" spans="2:5" x14ac:dyDescent="0.2">
      <c r="B28">
        <v>0.18</v>
      </c>
      <c r="C28">
        <f t="shared" si="0"/>
        <v>-0.14200383290200641</v>
      </c>
      <c r="D28">
        <v>0.18</v>
      </c>
      <c r="E28">
        <f t="shared" si="1"/>
        <v>1.3986993671842729E-2</v>
      </c>
    </row>
    <row r="29" spans="2:5" x14ac:dyDescent="0.2">
      <c r="B29">
        <v>0.19</v>
      </c>
      <c r="C29">
        <f t="shared" si="0"/>
        <v>-0.15208129541215448</v>
      </c>
      <c r="D29">
        <v>0.19</v>
      </c>
      <c r="E29">
        <f t="shared" si="1"/>
        <v>1.4698510587857637E-2</v>
      </c>
    </row>
    <row r="30" spans="2:5" x14ac:dyDescent="0.2">
      <c r="B30">
        <v>0.2</v>
      </c>
      <c r="C30">
        <f t="shared" si="0"/>
        <v>-0.15884791940409732</v>
      </c>
      <c r="D30">
        <v>0.2</v>
      </c>
      <c r="E30">
        <f t="shared" si="1"/>
        <v>1.5096611357347101E-2</v>
      </c>
    </row>
    <row r="31" spans="2:5" x14ac:dyDescent="0.2">
      <c r="B31">
        <v>0.21</v>
      </c>
      <c r="C31">
        <f t="shared" si="0"/>
        <v>-0.16216424496545515</v>
      </c>
      <c r="D31">
        <v>0.21</v>
      </c>
      <c r="E31">
        <f t="shared" si="1"/>
        <v>1.5169558137580389E-2</v>
      </c>
    </row>
    <row r="32" spans="2:5" x14ac:dyDescent="0.2">
      <c r="B32">
        <v>0.22</v>
      </c>
      <c r="C32">
        <f t="shared" si="0"/>
        <v>-0.16196567075265111</v>
      </c>
      <c r="D32">
        <v>0.22</v>
      </c>
      <c r="E32">
        <f t="shared" si="1"/>
        <v>1.491265190808802E-2</v>
      </c>
    </row>
    <row r="33" spans="2:5" x14ac:dyDescent="0.2">
      <c r="B33">
        <v>0.23</v>
      </c>
      <c r="C33">
        <f t="shared" si="0"/>
        <v>-0.15826381298393241</v>
      </c>
      <c r="D33">
        <v>0.23</v>
      </c>
      <c r="E33">
        <f t="shared" si="1"/>
        <v>1.4328352280970503E-2</v>
      </c>
    </row>
    <row r="34" spans="2:5" x14ac:dyDescent="0.2">
      <c r="B34">
        <v>0.24</v>
      </c>
      <c r="C34">
        <f t="shared" si="0"/>
        <v>-0.15114621153469784</v>
      </c>
      <c r="D34">
        <v>0.24</v>
      </c>
      <c r="E34">
        <f t="shared" si="1"/>
        <v>1.3426242030221225E-2</v>
      </c>
    </row>
    <row r="35" spans="2:5" x14ac:dyDescent="0.2">
      <c r="B35">
        <v>0.25</v>
      </c>
      <c r="C35">
        <f t="shared" si="0"/>
        <v>-0.14077438975025192</v>
      </c>
      <c r="D35">
        <v>0.25</v>
      </c>
      <c r="E35">
        <f t="shared" si="1"/>
        <v>1.2222837006694848E-2</v>
      </c>
    </row>
    <row r="36" spans="2:5" x14ac:dyDescent="0.2">
      <c r="B36">
        <v>0.26</v>
      </c>
      <c r="C36">
        <f t="shared" si="0"/>
        <v>-0.12738031029301064</v>
      </c>
      <c r="D36">
        <v>0.26</v>
      </c>
      <c r="E36">
        <f t="shared" si="1"/>
        <v>1.0741245459296968E-2</v>
      </c>
    </row>
    <row r="37" spans="2:5" x14ac:dyDescent="0.2">
      <c r="B37">
        <v>0.27</v>
      </c>
      <c r="C37">
        <f t="shared" si="0"/>
        <v>-0.11126130412396404</v>
      </c>
      <c r="D37">
        <v>0.27</v>
      </c>
      <c r="E37">
        <f t="shared" si="1"/>
        <v>9.0106840503040263E-3</v>
      </c>
    </row>
    <row r="38" spans="2:5" x14ac:dyDescent="0.2">
      <c r="B38">
        <v>0.28000000000000003</v>
      </c>
      <c r="C38">
        <f t="shared" si="0"/>
        <v>-9.2773582827526832E-2</v>
      </c>
      <c r="D38">
        <v>0.28000000000000003</v>
      </c>
      <c r="E38">
        <f t="shared" si="1"/>
        <v>7.0658609625771571E-3</v>
      </c>
    </row>
    <row r="39" spans="2:5" x14ac:dyDescent="0.2">
      <c r="B39">
        <v>0.28999999999999998</v>
      </c>
      <c r="C39">
        <f t="shared" si="0"/>
        <v>-7.2324475206749742E-2</v>
      </c>
      <c r="D39">
        <v>0.28999999999999998</v>
      </c>
      <c r="E39">
        <f t="shared" si="1"/>
        <v>4.946239381353662E-3</v>
      </c>
    </row>
    <row r="40" spans="2:5" x14ac:dyDescent="0.2">
      <c r="B40">
        <v>0.3</v>
      </c>
      <c r="C40">
        <f t="shared" si="0"/>
        <v>-5.0363556736060286E-2</v>
      </c>
      <c r="D40">
        <v>0.3</v>
      </c>
      <c r="E40">
        <f t="shared" si="1"/>
        <v>2.6951972307044476E-3</v>
      </c>
    </row>
    <row r="41" spans="2:5" x14ac:dyDescent="0.2">
      <c r="B41">
        <v>0.31</v>
      </c>
      <c r="C41">
        <f t="shared" si="0"/>
        <v>-2.7372864461418275E-2</v>
      </c>
      <c r="D41">
        <v>0.31</v>
      </c>
      <c r="E41">
        <f t="shared" si="1"/>
        <v>3.591012982866171E-4</v>
      </c>
    </row>
    <row r="42" spans="2:5" x14ac:dyDescent="0.2">
      <c r="B42">
        <v>0.32</v>
      </c>
      <c r="C42">
        <f t="shared" si="0"/>
        <v>-3.8564097624918382E-3</v>
      </c>
      <c r="D42">
        <v>0.32</v>
      </c>
      <c r="E42">
        <f t="shared" si="1"/>
        <v>-2.013684257196962E-3</v>
      </c>
    </row>
    <row r="43" spans="2:5" x14ac:dyDescent="0.2">
      <c r="B43">
        <v>0.33</v>
      </c>
      <c r="C43">
        <f t="shared" si="0"/>
        <v>1.9670783391697429E-2</v>
      </c>
      <c r="D43">
        <v>0.33</v>
      </c>
      <c r="E43">
        <f t="shared" si="1"/>
        <v>-4.3738335937732594E-3</v>
      </c>
    </row>
    <row r="44" spans="2:5" x14ac:dyDescent="0.2">
      <c r="B44">
        <v>0.34</v>
      </c>
      <c r="C44">
        <f t="shared" si="0"/>
        <v>4.2693876783211508E-2</v>
      </c>
      <c r="D44">
        <v>0.34</v>
      </c>
      <c r="E44">
        <f t="shared" si="1"/>
        <v>-6.6721166836316292E-3</v>
      </c>
    </row>
    <row r="45" spans="2:5" x14ac:dyDescent="0.2">
      <c r="B45">
        <v>0.35</v>
      </c>
      <c r="C45">
        <f t="shared" si="0"/>
        <v>6.4709409852957575E-2</v>
      </c>
      <c r="D45">
        <v>0.35</v>
      </c>
      <c r="E45">
        <f t="shared" si="1"/>
        <v>-8.8604557561650713E-3</v>
      </c>
    </row>
    <row r="46" spans="2:5" x14ac:dyDescent="0.2">
      <c r="B46">
        <v>0.36</v>
      </c>
      <c r="C46">
        <f t="shared" si="0"/>
        <v>8.5236242300332818E-2</v>
      </c>
      <c r="D46">
        <v>0.36</v>
      </c>
      <c r="E46">
        <f t="shared" si="1"/>
        <v>-1.0892957839560824E-2</v>
      </c>
    </row>
    <row r="47" spans="2:5" x14ac:dyDescent="0.2">
      <c r="B47">
        <v>0.37</v>
      </c>
      <c r="C47">
        <f t="shared" si="0"/>
        <v>0.10382600992084322</v>
      </c>
      <c r="D47">
        <v>0.37</v>
      </c>
      <c r="E47">
        <f t="shared" si="1"/>
        <v>-1.2726901065993525E-2</v>
      </c>
    </row>
    <row r="48" spans="2:5" x14ac:dyDescent="0.2">
      <c r="B48">
        <v>0.38</v>
      </c>
      <c r="C48">
        <f t="shared" si="0"/>
        <v>0.12007286679988163</v>
      </c>
      <c r="D48">
        <v>0.38</v>
      </c>
      <c r="E48">
        <f t="shared" si="1"/>
        <v>-1.4323653401641046E-2</v>
      </c>
    </row>
    <row r="49" spans="2:5" x14ac:dyDescent="0.2">
      <c r="B49">
        <v>0.39</v>
      </c>
      <c r="C49">
        <f t="shared" si="0"/>
        <v>0.13362230247412199</v>
      </c>
      <c r="D49">
        <v>0.39</v>
      </c>
      <c r="E49">
        <f t="shared" si="1"/>
        <v>-1.5649503921396055E-2</v>
      </c>
    </row>
    <row r="50" spans="2:5" x14ac:dyDescent="0.2">
      <c r="B50">
        <v>0.4</v>
      </c>
      <c r="C50">
        <f t="shared" si="0"/>
        <v>0.14417884275034626</v>
      </c>
      <c r="D50">
        <v>0.4</v>
      </c>
      <c r="E50">
        <f t="shared" si="1"/>
        <v>-1.6676388637692226E-2</v>
      </c>
    </row>
    <row r="51" spans="2:5" x14ac:dyDescent="0.2">
      <c r="B51">
        <v>0.41</v>
      </c>
      <c r="C51">
        <f t="shared" si="0"/>
        <v>0.1515124670994174</v>
      </c>
      <c r="D51">
        <v>0.41</v>
      </c>
      <c r="E51">
        <f t="shared" si="1"/>
        <v>-1.7382495172362969E-2</v>
      </c>
    </row>
    <row r="52" spans="2:5" x14ac:dyDescent="0.2">
      <c r="B52">
        <v>0.42</v>
      </c>
      <c r="C52">
        <f t="shared" si="0"/>
        <v>0.15546360339500451</v>
      </c>
      <c r="D52">
        <v>0.42</v>
      </c>
      <c r="E52">
        <f t="shared" si="1"/>
        <v>-1.7752733180509229E-2</v>
      </c>
    </row>
    <row r="53" spans="2:5" x14ac:dyDescent="0.2">
      <c r="B53">
        <v>0.43</v>
      </c>
      <c r="C53">
        <f t="shared" si="0"/>
        <v>0.15594659163841956</v>
      </c>
      <c r="D53">
        <v>0.43</v>
      </c>
      <c r="E53">
        <f t="shared" si="1"/>
        <v>-1.7779060339191306E-2</v>
      </c>
    </row>
    <row r="54" spans="2:5" x14ac:dyDescent="0.2">
      <c r="B54">
        <v>0.44</v>
      </c>
      <c r="C54">
        <f t="shared" si="0"/>
        <v>0.15295154153290558</v>
      </c>
      <c r="D54">
        <v>0.44</v>
      </c>
      <c r="E54">
        <f t="shared" si="1"/>
        <v>-1.7460656838445998E-2</v>
      </c>
    </row>
    <row r="55" spans="2:5" x14ac:dyDescent="0.2">
      <c r="B55">
        <v>0.45</v>
      </c>
      <c r="C55">
        <f t="shared" si="0"/>
        <v>0.14654454362231639</v>
      </c>
      <c r="D55">
        <v>0.45</v>
      </c>
      <c r="E55">
        <f t="shared" si="1"/>
        <v>-1.6803944589941184E-2</v>
      </c>
    </row>
    <row r="56" spans="2:5" x14ac:dyDescent="0.2">
      <c r="B56">
        <v>0.46</v>
      </c>
      <c r="C56">
        <f t="shared" si="0"/>
        <v>0.13686622943440621</v>
      </c>
      <c r="D56">
        <v>0.46</v>
      </c>
      <c r="E56">
        <f t="shared" si="1"/>
        <v>-1.5822450728474317E-2</v>
      </c>
    </row>
    <row r="57" spans="2:5" x14ac:dyDescent="0.2">
      <c r="B57">
        <v>0.47</v>
      </c>
      <c r="C57">
        <f t="shared" si="0"/>
        <v>0.12412871189300034</v>
      </c>
      <c r="D57">
        <v>0.47</v>
      </c>
      <c r="E57">
        <f t="shared" si="1"/>
        <v>-1.4536518350674779E-2</v>
      </c>
    </row>
    <row r="58" spans="2:5" x14ac:dyDescent="0.2">
      <c r="B58">
        <v>0.48</v>
      </c>
      <c r="C58">
        <f t="shared" si="0"/>
        <v>0.10861097240911839</v>
      </c>
      <c r="D58">
        <v>0.48</v>
      </c>
      <c r="E58">
        <f t="shared" si="1"/>
        <v>-1.2972870740659668E-2</v>
      </c>
    </row>
    <row r="59" spans="2:5" x14ac:dyDescent="0.2">
      <c r="B59">
        <v>0.49</v>
      </c>
      <c r="C59">
        <f t="shared" si="0"/>
        <v>9.0652794766336198E-2</v>
      </c>
      <c r="D59">
        <v>0.49</v>
      </c>
      <c r="E59">
        <f t="shared" si="1"/>
        <v>-1.1164038502376954E-2</v>
      </c>
    </row>
    <row r="60" spans="2:5" x14ac:dyDescent="0.2">
      <c r="B60">
        <v>0.5</v>
      </c>
      <c r="C60">
        <f t="shared" si="0"/>
        <v>7.0647377449220186E-2</v>
      </c>
      <c r="D60">
        <v>0.5</v>
      </c>
      <c r="E60">
        <f t="shared" si="1"/>
        <v>-9.1476619842419567E-3</v>
      </c>
    </row>
    <row r="61" spans="2:5" x14ac:dyDescent="0.2">
      <c r="B61">
        <v>0.51</v>
      </c>
      <c r="C61">
        <f t="shared" si="0"/>
        <v>4.90327847415747E-2</v>
      </c>
      <c r="D61">
        <v>0.51</v>
      </c>
      <c r="E61">
        <f t="shared" si="1"/>
        <v>-6.9656840791547043E-3</v>
      </c>
    </row>
    <row r="62" spans="2:5" x14ac:dyDescent="0.2">
      <c r="B62">
        <v>0.52</v>
      </c>
      <c r="C62">
        <f t="shared" si="0"/>
        <v>2.6282422121451921E-2</v>
      </c>
      <c r="D62">
        <v>0.52</v>
      </c>
      <c r="E62">
        <f t="shared" si="1"/>
        <v>-4.6634508536143142E-3</v>
      </c>
    </row>
    <row r="63" spans="2:5" x14ac:dyDescent="0.2">
      <c r="B63">
        <v>0.53</v>
      </c>
      <c r="C63">
        <f t="shared" si="0"/>
        <v>2.8947426557729044E-3</v>
      </c>
      <c r="D63">
        <v>0.53</v>
      </c>
      <c r="E63">
        <f t="shared" si="1"/>
        <v>-2.2887394520499111E-3</v>
      </c>
    </row>
    <row r="64" spans="2:5" x14ac:dyDescent="0.2">
      <c r="B64">
        <v>0.54</v>
      </c>
      <c r="C64">
        <f t="shared" si="0"/>
        <v>-2.0617592210347271E-2</v>
      </c>
      <c r="D64">
        <v>0.54</v>
      </c>
      <c r="E64">
        <f t="shared" si="1"/>
        <v>1.0926570650755547E-4</v>
      </c>
    </row>
    <row r="65" spans="2:5" x14ac:dyDescent="0.2">
      <c r="B65">
        <v>0.55000000000000004</v>
      </c>
      <c r="C65">
        <f t="shared" si="0"/>
        <v>-4.37388622279812E-2</v>
      </c>
      <c r="D65">
        <v>0.55000000000000004</v>
      </c>
      <c r="E65">
        <f t="shared" si="1"/>
        <v>2.4810263067169399E-3</v>
      </c>
    </row>
    <row r="66" spans="2:5" x14ac:dyDescent="0.2">
      <c r="B66">
        <v>0.56000000000000005</v>
      </c>
      <c r="C66">
        <f t="shared" si="0"/>
        <v>-6.5961506297140371E-2</v>
      </c>
      <c r="D66">
        <v>0.56000000000000005</v>
      </c>
      <c r="E66">
        <f t="shared" si="1"/>
        <v>4.7777103215091337E-3</v>
      </c>
    </row>
    <row r="67" spans="2:5" x14ac:dyDescent="0.2">
      <c r="B67">
        <v>0.56999999999999995</v>
      </c>
      <c r="C67">
        <f t="shared" si="0"/>
        <v>-8.6797165317887504E-2</v>
      </c>
      <c r="D67">
        <v>0.56999999999999995</v>
      </c>
      <c r="E67">
        <f t="shared" si="1"/>
        <v>6.9522360916655741E-3</v>
      </c>
    </row>
    <row r="68" spans="2:5" x14ac:dyDescent="0.2">
      <c r="B68">
        <v>0.57999999999999996</v>
      </c>
      <c r="C68">
        <f t="shared" si="0"/>
        <v>-0.10578731024668594</v>
      </c>
      <c r="D68">
        <v>0.57999999999999996</v>
      </c>
      <c r="E68">
        <f t="shared" si="1"/>
        <v>8.9602777428970104E-3</v>
      </c>
    </row>
    <row r="69" spans="2:5" x14ac:dyDescent="0.2">
      <c r="B69">
        <v>0.59</v>
      </c>
      <c r="C69">
        <f t="shared" si="0"/>
        <v>-0.12251322465124409</v>
      </c>
      <c r="D69">
        <v>0.59</v>
      </c>
      <c r="E69">
        <f t="shared" si="1"/>
        <v>1.0761210225446351E-2</v>
      </c>
    </row>
    <row r="70" spans="2:5" x14ac:dyDescent="0.2">
      <c r="B70">
        <v>0.6</v>
      </c>
      <c r="C70">
        <f t="shared" si="0"/>
        <v>-0.13660512504814198</v>
      </c>
      <c r="D70">
        <v>0.6</v>
      </c>
      <c r="E70">
        <f t="shared" si="1"/>
        <v>1.2318973574184607E-2</v>
      </c>
    </row>
    <row r="71" spans="2:5" x14ac:dyDescent="0.2">
      <c r="B71">
        <v>0.61</v>
      </c>
      <c r="C71">
        <f t="shared" si="0"/>
        <v>-0.14775022099983823</v>
      </c>
      <c r="D71">
        <v>0.61</v>
      </c>
      <c r="E71">
        <f t="shared" si="1"/>
        <v>1.3602837742046122E-2</v>
      </c>
    </row>
    <row r="72" spans="2:5" x14ac:dyDescent="0.2">
      <c r="B72">
        <v>0.62</v>
      </c>
      <c r="C72">
        <f t="shared" si="0"/>
        <v>-0.15569953993587626</v>
      </c>
      <c r="D72">
        <v>0.62</v>
      </c>
      <c r="E72">
        <f t="shared" si="1"/>
        <v>1.4588051518380604E-2</v>
      </c>
    </row>
    <row r="73" spans="2:5" x14ac:dyDescent="0.2">
      <c r="B73">
        <v>0.63</v>
      </c>
      <c r="C73">
        <f t="shared" si="0"/>
        <v>-0.16027336844874804</v>
      </c>
      <c r="D73">
        <v>0.63</v>
      </c>
      <c r="E73">
        <f t="shared" si="1"/>
        <v>1.5256361559556586E-2</v>
      </c>
    </row>
    <row r="74" spans="2:5" x14ac:dyDescent="0.2">
      <c r="B74">
        <v>0.64</v>
      </c>
      <c r="C74">
        <f t="shared" si="0"/>
        <v>-0.16136519181700756</v>
      </c>
      <c r="D74">
        <v>0.64</v>
      </c>
      <c r="E74">
        <f t="shared" si="1"/>
        <v>1.5596390377359314E-2</v>
      </c>
    </row>
    <row r="75" spans="2:5" x14ac:dyDescent="0.2">
      <c r="B75">
        <v>0.65</v>
      </c>
      <c r="C75">
        <f t="shared" ref="C75:C138" si="2">$F$5*COS($G$5*B75)+$I$5*SIN($J$5*B75)+$L$5*COS($M$5*B75)+$O$5*SIN($P$5*B75)</f>
        <v>-0.15894404607623674</v>
      </c>
      <c r="D75">
        <v>0.65</v>
      </c>
      <c r="E75">
        <f t="shared" ref="E75:E138" si="3">$S$5*COS($T$5*B75)+$V$5*SIN($W$5*B75)+$Y$5*COS($Z$5*B75)+$AB$5*SIN($AC$5*B75)</f>
        <v>1.5603865190261933E-2</v>
      </c>
    </row>
    <row r="76" spans="2:5" x14ac:dyDescent="0.2">
      <c r="B76">
        <v>0.66</v>
      </c>
      <c r="C76">
        <f t="shared" si="2"/>
        <v>-0.15305523138601776</v>
      </c>
      <c r="D76">
        <v>0.66</v>
      </c>
      <c r="E76">
        <f t="shared" si="3"/>
        <v>1.5281692777152224E-2</v>
      </c>
    </row>
    <row r="77" spans="2:5" x14ac:dyDescent="0.2">
      <c r="B77">
        <v>0.67</v>
      </c>
      <c r="C77">
        <f t="shared" si="2"/>
        <v>-0.14381937098153336</v>
      </c>
      <c r="D77">
        <v>0.67</v>
      </c>
      <c r="E77">
        <f t="shared" si="3"/>
        <v>1.4639878812420784E-2</v>
      </c>
    </row>
    <row r="78" spans="2:5" x14ac:dyDescent="0.2">
      <c r="B78">
        <v>0.68</v>
      </c>
      <c r="C78">
        <f t="shared" si="2"/>
        <v>-0.13142983588099991</v>
      </c>
      <c r="D78">
        <v>0.68</v>
      </c>
      <c r="E78">
        <f t="shared" si="3"/>
        <v>1.369529353304135E-2</v>
      </c>
    </row>
    <row r="79" spans="2:5" x14ac:dyDescent="0.2">
      <c r="B79">
        <v>0.69</v>
      </c>
      <c r="C79">
        <f t="shared" si="2"/>
        <v>-0.11614859096662603</v>
      </c>
      <c r="D79">
        <v>0.69</v>
      </c>
      <c r="E79">
        <f t="shared" si="3"/>
        <v>1.2471288919281957E-2</v>
      </c>
    </row>
    <row r="80" spans="2:5" x14ac:dyDescent="0.2">
      <c r="B80">
        <v>0.7</v>
      </c>
      <c r="C80">
        <f t="shared" si="2"/>
        <v>-9.8300552298410906E-2</v>
      </c>
      <c r="D80">
        <v>0.7</v>
      </c>
      <c r="E80">
        <f t="shared" si="3"/>
        <v>1.0997175788745059E-2</v>
      </c>
    </row>
    <row r="81" spans="2:5" x14ac:dyDescent="0.2">
      <c r="B81">
        <v>0.71</v>
      </c>
      <c r="C81">
        <f t="shared" si="2"/>
        <v>-7.8266577814223165E-2</v>
      </c>
      <c r="D81">
        <v>0.71</v>
      </c>
      <c r="E81">
        <f t="shared" si="3"/>
        <v>9.3075722387683975E-3</v>
      </c>
    </row>
    <row r="82" spans="2:5" x14ac:dyDescent="0.2">
      <c r="B82">
        <v>0.72</v>
      </c>
      <c r="C82">
        <f t="shared" si="2"/>
        <v>-5.6475243215782303E-2</v>
      </c>
      <c r="D82">
        <v>0.72</v>
      </c>
      <c r="E82">
        <f t="shared" si="3"/>
        <v>7.4416376590102119E-3</v>
      </c>
    </row>
    <row r="83" spans="2:5" x14ac:dyDescent="0.2">
      <c r="B83">
        <v>0.73</v>
      </c>
      <c r="C83">
        <f t="shared" si="2"/>
        <v>-3.3393581195462436E-2</v>
      </c>
      <c r="D83">
        <v>0.73</v>
      </c>
      <c r="E83">
        <f t="shared" si="3"/>
        <v>5.4422090138783498E-3</v>
      </c>
    </row>
    <row r="84" spans="2:5" x14ac:dyDescent="0.2">
      <c r="B84">
        <v>0.74</v>
      </c>
      <c r="C84">
        <f t="shared" si="2"/>
        <v>-9.5169846515519747E-3</v>
      </c>
      <c r="D84">
        <v>0.74</v>
      </c>
      <c r="E84">
        <f t="shared" si="3"/>
        <v>3.354858209620927E-3</v>
      </c>
    </row>
    <row r="85" spans="2:5" x14ac:dyDescent="0.2">
      <c r="B85">
        <v>0.75</v>
      </c>
      <c r="C85">
        <f t="shared" si="2"/>
        <v>1.4641507318064521E-2</v>
      </c>
      <c r="D85">
        <v>0.75</v>
      </c>
      <c r="E85">
        <f t="shared" si="3"/>
        <v>1.2268910675354212E-3</v>
      </c>
    </row>
    <row r="86" spans="2:5" x14ac:dyDescent="0.2">
      <c r="B86">
        <v>0.76</v>
      </c>
      <c r="C86">
        <f t="shared" si="2"/>
        <v>3.8562308455480317E-2</v>
      </c>
      <c r="D86">
        <v>0.76</v>
      </c>
      <c r="E86">
        <f t="shared" si="3"/>
        <v>-8.9369031411774E-4</v>
      </c>
    </row>
    <row r="87" spans="2:5" x14ac:dyDescent="0.2">
      <c r="B87">
        <v>0.77</v>
      </c>
      <c r="C87">
        <f t="shared" si="2"/>
        <v>6.1730528863473327E-2</v>
      </c>
      <c r="D87">
        <v>0.77</v>
      </c>
      <c r="E87">
        <f t="shared" si="3"/>
        <v>-2.9592392386058311E-3</v>
      </c>
    </row>
    <row r="88" spans="2:5" x14ac:dyDescent="0.2">
      <c r="B88">
        <v>0.78</v>
      </c>
      <c r="C88">
        <f t="shared" si="2"/>
        <v>8.3647119307513992E-2</v>
      </c>
      <c r="D88">
        <v>0.78</v>
      </c>
      <c r="E88">
        <f t="shared" si="3"/>
        <v>-4.9235072603164322E-3</v>
      </c>
    </row>
    <row r="89" spans="2:5" x14ac:dyDescent="0.2">
      <c r="B89">
        <v>0.79</v>
      </c>
      <c r="C89">
        <f t="shared" si="2"/>
        <v>0.10383967473590194</v>
      </c>
      <c r="D89">
        <v>0.79</v>
      </c>
      <c r="E89">
        <f t="shared" si="3"/>
        <v>-6.7426555340628896E-3</v>
      </c>
    </row>
    <row r="90" spans="2:5" x14ac:dyDescent="0.2">
      <c r="B90">
        <v>0.8</v>
      </c>
      <c r="C90">
        <f t="shared" si="2"/>
        <v>0.12187266282970638</v>
      </c>
      <c r="D90">
        <v>0.8</v>
      </c>
      <c r="E90">
        <f t="shared" si="3"/>
        <v>-8.3762126826285432E-3</v>
      </c>
    </row>
    <row r="91" spans="2:5" x14ac:dyDescent="0.2">
      <c r="B91">
        <v>0.81</v>
      </c>
      <c r="C91">
        <f t="shared" si="2"/>
        <v>0.13735685584730012</v>
      </c>
      <c r="D91">
        <v>0.81</v>
      </c>
      <c r="E91">
        <f t="shared" si="3"/>
        <v>-9.7879583679845086E-3</v>
      </c>
    </row>
    <row r="92" spans="2:5" x14ac:dyDescent="0.2">
      <c r="B92">
        <v>0.82</v>
      </c>
      <c r="C92">
        <f t="shared" si="2"/>
        <v>0.14995776128974439</v>
      </c>
      <c r="D92">
        <v>0.82</v>
      </c>
      <c r="E92">
        <f t="shared" si="3"/>
        <v>-1.0946713370177261E-2</v>
      </c>
    </row>
    <row r="93" spans="2:5" x14ac:dyDescent="0.2">
      <c r="B93">
        <v>0.83</v>
      </c>
      <c r="C93">
        <f t="shared" si="2"/>
        <v>0.15940286860878158</v>
      </c>
      <c r="D93">
        <v>0.83</v>
      </c>
      <c r="E93">
        <f t="shared" si="3"/>
        <v>-1.1827019012946301E-2</v>
      </c>
    </row>
    <row r="94" spans="2:5" x14ac:dyDescent="0.2">
      <c r="B94">
        <v>0.84</v>
      </c>
      <c r="C94">
        <f t="shared" si="2"/>
        <v>0.16548755483835689</v>
      </c>
      <c r="D94">
        <v>0.84</v>
      </c>
      <c r="E94">
        <f t="shared" si="3"/>
        <v>-1.2409691182525585E-2</v>
      </c>
    </row>
    <row r="95" spans="2:5" x14ac:dyDescent="0.2">
      <c r="B95">
        <v>0.85</v>
      </c>
      <c r="C95">
        <f t="shared" si="2"/>
        <v>0.16807952109700067</v>
      </c>
      <c r="D95">
        <v>0.85</v>
      </c>
      <c r="E95">
        <f t="shared" si="3"/>
        <v>-1.2682236913547664E-2</v>
      </c>
    </row>
    <row r="96" spans="2:5" x14ac:dyDescent="0.2">
      <c r="B96">
        <v>0.86</v>
      </c>
      <c r="C96">
        <f t="shared" si="2"/>
        <v>0.16712166375181445</v>
      </c>
      <c r="D96">
        <v>0.86</v>
      </c>
      <c r="E96">
        <f t="shared" si="3"/>
        <v>-1.2639124504312644E-2</v>
      </c>
    </row>
    <row r="97" spans="2:5" x14ac:dyDescent="0.2">
      <c r="B97">
        <v>0.87</v>
      </c>
      <c r="C97">
        <f t="shared" si="2"/>
        <v>0.16263331796469774</v>
      </c>
      <c r="D97">
        <v>0.87</v>
      </c>
      <c r="E97">
        <f t="shared" si="3"/>
        <v>-1.2281901308049865E-2</v>
      </c>
    </row>
    <row r="98" spans="2:5" x14ac:dyDescent="0.2">
      <c r="B98">
        <v>0.88</v>
      </c>
      <c r="C98">
        <f t="shared" si="2"/>
        <v>0.15470984662210102</v>
      </c>
      <c r="D98">
        <v>0.88</v>
      </c>
      <c r="E98">
        <f t="shared" si="3"/>
        <v>-1.1619156658083957E-2</v>
      </c>
    </row>
    <row r="99" spans="2:5" x14ac:dyDescent="0.2">
      <c r="B99">
        <v>0.89</v>
      </c>
      <c r="C99">
        <f t="shared" si="2"/>
        <v>0.14352058351593233</v>
      </c>
      <c r="D99">
        <v>0.89</v>
      </c>
      <c r="E99">
        <f t="shared" si="3"/>
        <v>-1.0666330751159664E-2</v>
      </c>
    </row>
    <row r="100" spans="2:5" x14ac:dyDescent="0.2">
      <c r="B100">
        <v>0.9</v>
      </c>
      <c r="C100">
        <f t="shared" si="2"/>
        <v>0.1293051753175492</v>
      </c>
      <c r="D100">
        <v>0.9</v>
      </c>
      <c r="E100">
        <f t="shared" si="3"/>
        <v>-9.44537366153138E-3</v>
      </c>
    </row>
    <row r="101" spans="2:5" x14ac:dyDescent="0.2">
      <c r="B101">
        <v>0.91</v>
      </c>
      <c r="C101">
        <f t="shared" si="2"/>
        <v>0.1123684015954394</v>
      </c>
      <c r="D101">
        <v>0.91</v>
      </c>
      <c r="E101">
        <f t="shared" si="3"/>
        <v>-7.9842619161212391E-3</v>
      </c>
    </row>
    <row r="102" spans="2:5" x14ac:dyDescent="0.2">
      <c r="B102">
        <v>0.92</v>
      </c>
      <c r="C102">
        <f t="shared" si="2"/>
        <v>9.3073585117607105E-2</v>
      </c>
      <c r="D102">
        <v>0.92</v>
      </c>
      <c r="E102">
        <f t="shared" si="3"/>
        <v>-6.3163831574023603E-3</v>
      </c>
    </row>
    <row r="103" spans="2:5" x14ac:dyDescent="0.2">
      <c r="B103">
        <v>0.93</v>
      </c>
      <c r="C103">
        <f t="shared" si="2"/>
        <v>7.183473523642786E-2</v>
      </c>
      <c r="D103">
        <v>0.93</v>
      </c>
      <c r="E103">
        <f t="shared" si="3"/>
        <v>-4.4798022884749988E-3</v>
      </c>
    </row>
    <row r="104" spans="2:5" x14ac:dyDescent="0.2">
      <c r="B104">
        <v>0.94</v>
      </c>
      <c r="C104">
        <f t="shared" si="2"/>
        <v>4.9107594614252195E-2</v>
      </c>
      <c r="D104">
        <v>0.94</v>
      </c>
      <c r="E104">
        <f t="shared" si="3"/>
        <v>-2.5164250718413762E-3</v>
      </c>
    </row>
    <row r="105" spans="2:5" x14ac:dyDescent="0.2">
      <c r="B105">
        <v>0.95</v>
      </c>
      <c r="C105">
        <f t="shared" si="2"/>
        <v>2.5379783316813363E-2</v>
      </c>
      <c r="D105">
        <v>0.95</v>
      </c>
      <c r="E105">
        <f t="shared" si="3"/>
        <v>-4.710773837168095E-4</v>
      </c>
    </row>
    <row r="106" spans="2:5" x14ac:dyDescent="0.2">
      <c r="B106">
        <v>0.96</v>
      </c>
      <c r="C106">
        <f t="shared" si="2"/>
        <v>1.1602538631971279E-3</v>
      </c>
      <c r="D106">
        <v>0.96</v>
      </c>
      <c r="E106">
        <f t="shared" si="3"/>
        <v>1.6094798390595252E-3</v>
      </c>
    </row>
    <row r="107" spans="2:5" x14ac:dyDescent="0.2">
      <c r="B107">
        <v>0.97</v>
      </c>
      <c r="C107">
        <f t="shared" si="2"/>
        <v>-2.3031714248485245E-2</v>
      </c>
      <c r="D107">
        <v>0.97</v>
      </c>
      <c r="E107">
        <f t="shared" si="3"/>
        <v>3.6775785221756945E-3</v>
      </c>
    </row>
    <row r="108" spans="2:5" x14ac:dyDescent="0.2">
      <c r="B108">
        <v>0.98</v>
      </c>
      <c r="C108">
        <f t="shared" si="2"/>
        <v>-4.6677742045142731E-2</v>
      </c>
      <c r="D108">
        <v>0.98</v>
      </c>
      <c r="E108">
        <f t="shared" si="3"/>
        <v>5.6856918747877263E-3</v>
      </c>
    </row>
    <row r="109" spans="2:5" x14ac:dyDescent="0.2">
      <c r="B109">
        <v>0.99</v>
      </c>
      <c r="C109">
        <f t="shared" si="2"/>
        <v>-6.9271557313774823E-2</v>
      </c>
      <c r="D109">
        <v>0.99</v>
      </c>
      <c r="E109">
        <f t="shared" si="3"/>
        <v>7.5874804867012537E-3</v>
      </c>
    </row>
    <row r="110" spans="2:5" x14ac:dyDescent="0.2">
      <c r="B110">
        <v>1</v>
      </c>
      <c r="C110">
        <f t="shared" si="2"/>
        <v>-9.0329936740108252E-2</v>
      </c>
      <c r="D110">
        <v>1</v>
      </c>
      <c r="E110">
        <f t="shared" si="3"/>
        <v>9.3388133263884055E-3</v>
      </c>
    </row>
    <row r="111" spans="2:5" x14ac:dyDescent="0.2">
      <c r="B111">
        <v>1.01</v>
      </c>
      <c r="C111">
        <f t="shared" si="2"/>
        <v>-0.10940314685973471</v>
      </c>
      <c r="D111">
        <v>1.01</v>
      </c>
      <c r="E111">
        <f t="shared" si="3"/>
        <v>1.0898741405027883E-2</v>
      </c>
    </row>
    <row r="112" spans="2:5" x14ac:dyDescent="0.2">
      <c r="B112">
        <v>1.02</v>
      </c>
      <c r="C112">
        <f t="shared" si="2"/>
        <v>-0.12608465760770307</v>
      </c>
      <c r="D112">
        <v>1.02</v>
      </c>
      <c r="E112">
        <f t="shared" si="3"/>
        <v>1.2230402895091327E-2</v>
      </c>
    </row>
    <row r="113" spans="2:5" x14ac:dyDescent="0.2">
      <c r="B113">
        <v>1.03</v>
      </c>
      <c r="C113">
        <f t="shared" si="2"/>
        <v>-0.1400199180342874</v>
      </c>
      <c r="D113">
        <v>1.03</v>
      </c>
      <c r="E113">
        <f t="shared" si="3"/>
        <v>1.3301839975906015E-2</v>
      </c>
    </row>
    <row r="114" spans="2:5" x14ac:dyDescent="0.2">
      <c r="B114">
        <v>1.04</v>
      </c>
      <c r="C114">
        <f t="shared" si="2"/>
        <v>-0.15091400409882555</v>
      </c>
      <c r="D114">
        <v>1.04</v>
      </c>
      <c r="E114">
        <f t="shared" si="3"/>
        <v>1.4086709590932478E-2</v>
      </c>
    </row>
    <row r="115" spans="2:5" x14ac:dyDescent="0.2">
      <c r="B115">
        <v>1.05</v>
      </c>
      <c r="C115">
        <f t="shared" si="2"/>
        <v>-0.15853797291887345</v>
      </c>
      <c r="D115">
        <v>1.05</v>
      </c>
      <c r="E115">
        <f t="shared" si="3"/>
        <v>1.4564872600745602E-2</v>
      </c>
    </row>
    <row r="116" spans="2:5" x14ac:dyDescent="0.2">
      <c r="B116">
        <v>1.06</v>
      </c>
      <c r="C116">
        <f t="shared" si="2"/>
        <v>-0.1627337859078489</v>
      </c>
      <c r="D116">
        <v>1.06</v>
      </c>
      <c r="E116">
        <f t="shared" si="3"/>
        <v>1.4722848452044504E-2</v>
      </c>
    </row>
    <row r="117" spans="2:5" x14ac:dyDescent="0.2">
      <c r="B117">
        <v>1.07</v>
      </c>
      <c r="C117">
        <f t="shared" si="2"/>
        <v>-0.16341769427234357</v>
      </c>
      <c r="D117">
        <v>1.07</v>
      </c>
      <c r="E117">
        <f t="shared" si="3"/>
        <v>1.4554125399267525E-2</v>
      </c>
    </row>
    <row r="118" spans="2:5" x14ac:dyDescent="0.2">
      <c r="B118">
        <v>1.08</v>
      </c>
      <c r="C118">
        <f t="shared" si="2"/>
        <v>-0.1605820136872525</v>
      </c>
      <c r="D118">
        <v>1.08</v>
      </c>
      <c r="E118">
        <f t="shared" si="3"/>
        <v>1.4059319448312549E-2</v>
      </c>
    </row>
    <row r="119" spans="2:5" x14ac:dyDescent="0.2">
      <c r="B119">
        <v>1.0900000000000001</v>
      </c>
      <c r="C119">
        <f t="shared" si="2"/>
        <v>-0.15429524989957424</v>
      </c>
      <c r="D119">
        <v>1.0900000000000001</v>
      </c>
      <c r="E119">
        <f t="shared" si="3"/>
        <v>1.3246178473511273E-2</v>
      </c>
    </row>
    <row r="120" spans="2:5" x14ac:dyDescent="0.2">
      <c r="B120">
        <v>1.1000000000000001</v>
      </c>
      <c r="C120">
        <f t="shared" si="2"/>
        <v>-0.14470057277259993</v>
      </c>
      <c r="D120">
        <v>1.1000000000000001</v>
      </c>
      <c r="E120">
        <f t="shared" si="3"/>
        <v>1.212943131820462E-2</v>
      </c>
    </row>
    <row r="121" spans="2:5" x14ac:dyDescent="0.2">
      <c r="B121">
        <v>1.1100000000000001</v>
      </c>
      <c r="C121">
        <f t="shared" si="2"/>
        <v>-0.13201267209568104</v>
      </c>
      <c r="D121">
        <v>1.1100000000000001</v>
      </c>
      <c r="E121">
        <f t="shared" si="3"/>
        <v>1.0730485053154945E-2</v>
      </c>
    </row>
    <row r="122" spans="2:5" x14ac:dyDescent="0.2">
      <c r="B122">
        <v>1.1200000000000001</v>
      </c>
      <c r="C122">
        <f t="shared" si="2"/>
        <v>-0.11651306357417343</v>
      </c>
      <c r="D122">
        <v>1.1200000000000001</v>
      </c>
      <c r="E122">
        <f t="shared" si="3"/>
        <v>9.0769768626422463E-3</v>
      </c>
    </row>
    <row r="123" spans="2:5" x14ac:dyDescent="0.2">
      <c r="B123">
        <v>1.1299999999999999</v>
      </c>
      <c r="C123">
        <f t="shared" si="2"/>
        <v>-9.8543947018528602E-2</v>
      </c>
      <c r="D123">
        <v>1.1299999999999999</v>
      </c>
      <c r="E123">
        <f t="shared" si="3"/>
        <v>7.2021901839399213E-3</v>
      </c>
    </row>
    <row r="124" spans="2:5" x14ac:dyDescent="0.2">
      <c r="B124">
        <v>1.1399999999999999</v>
      </c>
      <c r="C124">
        <f t="shared" si="2"/>
        <v>-7.8500750142103282E-2</v>
      </c>
      <c r="D124">
        <v>1.1399999999999999</v>
      </c>
      <c r="E124">
        <f t="shared" si="3"/>
        <v>5.1443476734894886E-3</v>
      </c>
    </row>
    <row r="125" spans="2:5" x14ac:dyDescent="0.2">
      <c r="B125">
        <v>1.1499999999999999</v>
      </c>
      <c r="C125">
        <f t="shared" si="2"/>
        <v>-5.6823519873329793E-2</v>
      </c>
      <c r="D125">
        <v>1.1499999999999999</v>
      </c>
      <c r="E125">
        <f t="shared" si="3"/>
        <v>2.9457962485461846E-3</v>
      </c>
    </row>
    <row r="126" spans="2:5" x14ac:dyDescent="0.2">
      <c r="B126">
        <v>1.1599999999999999</v>
      </c>
      <c r="C126">
        <f t="shared" si="2"/>
        <v>-3.3987348071501174E-2</v>
      </c>
      <c r="D126">
        <v>1.1599999999999999</v>
      </c>
      <c r="E126">
        <f t="shared" si="3"/>
        <v>6.5210179830036937E-4</v>
      </c>
    </row>
    <row r="127" spans="2:5" x14ac:dyDescent="0.2">
      <c r="B127">
        <v>1.17</v>
      </c>
      <c r="C127">
        <f t="shared" si="2"/>
        <v>-1.0492039464801484E-2</v>
      </c>
      <c r="D127">
        <v>1.17</v>
      </c>
      <c r="E127">
        <f t="shared" si="3"/>
        <v>-1.6889268773936841E-3</v>
      </c>
    </row>
    <row r="128" spans="2:5" x14ac:dyDescent="0.2">
      <c r="B128">
        <v>1.18</v>
      </c>
      <c r="C128">
        <f t="shared" si="2"/>
        <v>1.31487539494777E-2</v>
      </c>
      <c r="D128">
        <v>1.18</v>
      </c>
      <c r="E128">
        <f t="shared" si="3"/>
        <v>-4.0282638031575611E-3</v>
      </c>
    </row>
    <row r="129" spans="2:5" x14ac:dyDescent="0.2">
      <c r="B129">
        <v>1.19</v>
      </c>
      <c r="C129">
        <f t="shared" si="2"/>
        <v>3.6418696245441549E-2</v>
      </c>
      <c r="D129">
        <v>1.19</v>
      </c>
      <c r="E129">
        <f t="shared" si="3"/>
        <v>-6.3167190553546351E-3</v>
      </c>
    </row>
    <row r="130" spans="2:5" x14ac:dyDescent="0.2">
      <c r="B130">
        <v>1.2</v>
      </c>
      <c r="C130">
        <f t="shared" si="2"/>
        <v>5.8809986410237061E-2</v>
      </c>
      <c r="D130">
        <v>1.2</v>
      </c>
      <c r="E130">
        <f t="shared" si="3"/>
        <v>-8.5059966972176951E-3</v>
      </c>
    </row>
    <row r="131" spans="2:5" x14ac:dyDescent="0.2">
      <c r="B131">
        <v>1.21</v>
      </c>
      <c r="C131">
        <f t="shared" si="2"/>
        <v>7.9834389259124117E-2</v>
      </c>
      <c r="D131">
        <v>1.21</v>
      </c>
      <c r="E131">
        <f t="shared" si="3"/>
        <v>-1.0549734528854925E-2</v>
      </c>
    </row>
    <row r="132" spans="2:5" x14ac:dyDescent="0.2">
      <c r="B132">
        <v>1.22</v>
      </c>
      <c r="C132">
        <f t="shared" si="2"/>
        <v>9.9033839088150735E-2</v>
      </c>
      <c r="D132">
        <v>1.22</v>
      </c>
      <c r="E132">
        <f t="shared" si="3"/>
        <v>-1.2404503146631732E-2</v>
      </c>
    </row>
    <row r="133" spans="2:5" x14ac:dyDescent="0.2">
      <c r="B133">
        <v>1.23</v>
      </c>
      <c r="C133">
        <f t="shared" si="2"/>
        <v>0.11599038601164788</v>
      </c>
      <c r="D133">
        <v>1.23</v>
      </c>
      <c r="E133">
        <f t="shared" si="3"/>
        <v>-1.4030742681737346E-2</v>
      </c>
    </row>
    <row r="134" spans="2:5" x14ac:dyDescent="0.2">
      <c r="B134">
        <v>1.24</v>
      </c>
      <c r="C134">
        <f t="shared" si="2"/>
        <v>0.13033526920458452</v>
      </c>
      <c r="D134">
        <v>1.24</v>
      </c>
      <c r="E134">
        <f t="shared" si="3"/>
        <v>-1.5393616931952023E-2</v>
      </c>
    </row>
    <row r="135" spans="2:5" x14ac:dyDescent="0.2">
      <c r="B135">
        <v>1.25</v>
      </c>
      <c r="C135">
        <f t="shared" si="2"/>
        <v>0.14175692022273792</v>
      </c>
      <c r="D135">
        <v>1.25</v>
      </c>
      <c r="E135">
        <f t="shared" si="3"/>
        <v>-1.6463766384616715E-2</v>
      </c>
    </row>
    <row r="136" spans="2:5" x14ac:dyDescent="0.2">
      <c r="B136">
        <v>1.26</v>
      </c>
      <c r="C136">
        <f t="shared" si="2"/>
        <v>0.15000772279554903</v>
      </c>
      <c r="D136">
        <v>1.26</v>
      </c>
      <c r="E136">
        <f t="shared" si="3"/>
        <v>-1.7217943813931127E-2</v>
      </c>
    </row>
    <row r="137" spans="2:5" x14ac:dyDescent="0.2">
      <c r="B137">
        <v>1.27</v>
      </c>
      <c r="C137">
        <f t="shared" si="2"/>
        <v>0.15490938247366107</v>
      </c>
      <c r="D137">
        <v>1.27</v>
      </c>
      <c r="E137">
        <f t="shared" si="3"/>
        <v>-1.7639518674616494E-2</v>
      </c>
    </row>
    <row r="138" spans="2:5" x14ac:dyDescent="0.2">
      <c r="B138">
        <v>1.28</v>
      </c>
      <c r="C138">
        <f t="shared" si="2"/>
        <v>0.15635678968015454</v>
      </c>
      <c r="D138">
        <v>1.28</v>
      </c>
      <c r="E138">
        <f t="shared" si="3"/>
        <v>-1.771883935166382E-2</v>
      </c>
    </row>
    <row r="139" spans="2:5" x14ac:dyDescent="0.2">
      <c r="B139">
        <v>1.29</v>
      </c>
      <c r="C139">
        <f t="shared" ref="C139:C202" si="4">$F$5*COS($G$5*B139)+$I$5*SIN($J$5*B139)+$L$5*COS($M$5*B139)+$O$5*SIN($P$5*B139)</f>
        <v>0.15432029240699552</v>
      </c>
      <c r="D139">
        <v>1.29</v>
      </c>
      <c r="E139">
        <f t="shared" ref="E139:E202" si="5">$S$5*COS($T$5*B139)+$V$5*SIN($W$5*B139)+$Y$5*COS($Z$5*B139)+$AB$5*SIN($AC$5*B139)</f>
        <v>-1.745344540084515E-2</v>
      </c>
    </row>
    <row r="140" spans="2:5" x14ac:dyDescent="0.2">
      <c r="B140">
        <v>1.3</v>
      </c>
      <c r="C140">
        <f t="shared" si="4"/>
        <v>0.14884632930711778</v>
      </c>
      <c r="D140">
        <v>1.3</v>
      </c>
      <c r="E140">
        <f t="shared" si="5"/>
        <v>-1.6848125160254166E-2</v>
      </c>
    </row>
    <row r="141" spans="2:5" x14ac:dyDescent="0.2">
      <c r="B141">
        <v>1.31</v>
      </c>
      <c r="C141">
        <f t="shared" si="4"/>
        <v>0.14005640950932211</v>
      </c>
      <c r="D141">
        <v>1.31</v>
      </c>
      <c r="E141">
        <f t="shared" si="5"/>
        <v>-1.5914817459016697E-2</v>
      </c>
    </row>
    <row r="142" spans="2:5" x14ac:dyDescent="0.2">
      <c r="B142">
        <v>1.32</v>
      </c>
      <c r="C142">
        <f t="shared" si="4"/>
        <v>0.12814446135614632</v>
      </c>
      <c r="D142">
        <v>1.32</v>
      </c>
      <c r="E142">
        <f t="shared" si="5"/>
        <v>-1.4672359522953694E-2</v>
      </c>
    </row>
    <row r="143" spans="2:5" x14ac:dyDescent="0.2">
      <c r="B143">
        <v>1.33</v>
      </c>
      <c r="C143">
        <f t="shared" si="4"/>
        <v>0.11337260765593569</v>
      </c>
      <c r="D143">
        <v>1.33</v>
      </c>
      <c r="E143">
        <f t="shared" si="5"/>
        <v>-1.3146086505265506E-2</v>
      </c>
    </row>
    <row r="144" spans="2:5" x14ac:dyDescent="0.2">
      <c r="B144">
        <v>1.34</v>
      </c>
      <c r="C144">
        <f t="shared" si="4"/>
        <v>9.6065459181873383E-2</v>
      </c>
      <c r="D144">
        <v>1.34</v>
      </c>
      <c r="E144">
        <f t="shared" si="5"/>
        <v>-1.1367291281096054E-2</v>
      </c>
    </row>
    <row r="145" spans="2:5" x14ac:dyDescent="0.2">
      <c r="B145">
        <v>1.35</v>
      </c>
      <c r="C145">
        <f t="shared" si="4"/>
        <v>7.6603050302196801E-2</v>
      </c>
      <c r="D145">
        <v>1.35</v>
      </c>
      <c r="E145">
        <f t="shared" si="5"/>
        <v>-9.3725561685371155E-3</v>
      </c>
    </row>
    <row r="146" spans="2:5" x14ac:dyDescent="0.2">
      <c r="B146">
        <v>1.36</v>
      </c>
      <c r="C146">
        <f t="shared" si="4"/>
        <v>5.5412570089844931E-2</v>
      </c>
      <c r="D146">
        <v>1.36</v>
      </c>
      <c r="E146">
        <f t="shared" si="5"/>
        <v>-7.2029710097086339E-3</v>
      </c>
    </row>
    <row r="147" spans="2:5" x14ac:dyDescent="0.2">
      <c r="B147">
        <v>1.37</v>
      </c>
      <c r="C147">
        <f t="shared" si="4"/>
        <v>3.2959068397242483E-2</v>
      </c>
      <c r="D147">
        <v>1.37</v>
      </c>
      <c r="E147">
        <f t="shared" si="5"/>
        <v>-4.9032545039386956E-3</v>
      </c>
    </row>
    <row r="148" spans="2:5" x14ac:dyDescent="0.2">
      <c r="B148">
        <v>1.38</v>
      </c>
      <c r="C148">
        <f t="shared" si="4"/>
        <v>9.7353386259453126E-3</v>
      </c>
      <c r="D148">
        <v>1.38</v>
      </c>
      <c r="E148">
        <f t="shared" si="5"/>
        <v>-2.5207977774899322E-3</v>
      </c>
    </row>
    <row r="149" spans="2:5" x14ac:dyDescent="0.2">
      <c r="B149">
        <v>1.39</v>
      </c>
      <c r="C149">
        <f t="shared" si="4"/>
        <v>-1.3748803211114999E-2</v>
      </c>
      <c r="D149">
        <v>1.39</v>
      </c>
      <c r="E149">
        <f t="shared" si="5"/>
        <v>-1.0465085538659442E-4</v>
      </c>
    </row>
    <row r="150" spans="2:5" x14ac:dyDescent="0.2">
      <c r="B150">
        <v>1.4</v>
      </c>
      <c r="C150">
        <f t="shared" si="4"/>
        <v>-3.6977610432543245E-2</v>
      </c>
      <c r="D150">
        <v>1.4</v>
      </c>
      <c r="E150">
        <f t="shared" si="5"/>
        <v>2.2955260657334794E-3</v>
      </c>
    </row>
    <row r="151" spans="2:5" x14ac:dyDescent="0.2">
      <c r="B151">
        <v>1.41</v>
      </c>
      <c r="C151">
        <f t="shared" si="4"/>
        <v>-5.9440627877691381E-2</v>
      </c>
      <c r="D151">
        <v>1.41</v>
      </c>
      <c r="E151">
        <f t="shared" si="5"/>
        <v>4.6305238859151079E-3</v>
      </c>
    </row>
    <row r="152" spans="2:5" x14ac:dyDescent="0.2">
      <c r="B152">
        <v>1.42</v>
      </c>
      <c r="C152">
        <f t="shared" si="4"/>
        <v>-8.0643800749225641E-2</v>
      </c>
      <c r="D152">
        <v>1.42</v>
      </c>
      <c r="E152">
        <f t="shared" si="5"/>
        <v>6.8526354854877534E-3</v>
      </c>
    </row>
    <row r="153" spans="2:5" x14ac:dyDescent="0.2">
      <c r="B153">
        <v>1.43</v>
      </c>
      <c r="C153">
        <f t="shared" si="4"/>
        <v>-0.10012022896622093</v>
      </c>
      <c r="D153">
        <v>1.43</v>
      </c>
      <c r="E153">
        <f t="shared" si="5"/>
        <v>8.9166735268054326E-3</v>
      </c>
    </row>
    <row r="154" spans="2:5" x14ac:dyDescent="0.2">
      <c r="B154">
        <v>1.44</v>
      </c>
      <c r="C154">
        <f t="shared" si="4"/>
        <v>-0.11744033356605797</v>
      </c>
      <c r="D154">
        <v>1.44</v>
      </c>
      <c r="E154">
        <f t="shared" si="5"/>
        <v>1.0780933197332266E-2</v>
      </c>
    </row>
    <row r="155" spans="2:5" x14ac:dyDescent="0.2">
      <c r="B155">
        <v>1.45</v>
      </c>
      <c r="C155">
        <f t="shared" si="4"/>
        <v>-0.13222121443903731</v>
      </c>
      <c r="D155">
        <v>1.45</v>
      </c>
      <c r="E155">
        <f t="shared" si="5"/>
        <v>1.2408079113725292E-2</v>
      </c>
    </row>
    <row r="156" spans="2:5" x14ac:dyDescent="0.2">
      <c r="B156">
        <v>1.46</v>
      </c>
      <c r="C156">
        <f t="shared" si="4"/>
        <v>-0.1441349962133297</v>
      </c>
      <c r="D156">
        <v>1.46</v>
      </c>
      <c r="E156">
        <f t="shared" si="5"/>
        <v>1.3765937253110413E-2</v>
      </c>
    </row>
    <row r="157" spans="2:5" x14ac:dyDescent="0.2">
      <c r="B157">
        <v>1.47</v>
      </c>
      <c r="C157">
        <f t="shared" si="4"/>
        <v>-0.15291598104948895</v>
      </c>
      <c r="D157">
        <v>1.47</v>
      </c>
      <c r="E157">
        <f t="shared" si="5"/>
        <v>1.4828174838678463E-2</v>
      </c>
    </row>
    <row r="158" spans="2:5" x14ac:dyDescent="0.2">
      <c r="B158">
        <v>1.48</v>
      </c>
      <c r="C158">
        <f t="shared" si="4"/>
        <v>-0.15836645297736401</v>
      </c>
      <c r="D158">
        <v>1.48</v>
      </c>
      <c r="E158">
        <f t="shared" si="5"/>
        <v>1.5574853537338349E-2</v>
      </c>
    </row>
    <row r="159" spans="2:5" x14ac:dyDescent="0.2">
      <c r="B159">
        <v>1.49</v>
      </c>
      <c r="C159">
        <f t="shared" si="4"/>
        <v>-0.16036100765278283</v>
      </c>
      <c r="D159">
        <v>1.49</v>
      </c>
      <c r="E159">
        <f t="shared" si="5"/>
        <v>1.5992844074739179E-2</v>
      </c>
    </row>
    <row r="160" spans="2:5" x14ac:dyDescent="0.2">
      <c r="B160">
        <v>1.5</v>
      </c>
      <c r="C160">
        <f t="shared" si="4"/>
        <v>-0.15884931339255759</v>
      </c>
      <c r="D160">
        <v>1.5</v>
      </c>
      <c r="E160">
        <f t="shared" si="5"/>
        <v>1.6076093377922089E-2</v>
      </c>
    </row>
    <row r="161" spans="2:5" x14ac:dyDescent="0.2">
      <c r="B161">
        <v>1.51</v>
      </c>
      <c r="C161">
        <f t="shared" si="4"/>
        <v>-0.1538572433706232</v>
      </c>
      <c r="D161">
        <v>1.51</v>
      </c>
      <c r="E161">
        <f t="shared" si="5"/>
        <v>1.5825738553021093E-2</v>
      </c>
    </row>
    <row r="162" spans="2:5" x14ac:dyDescent="0.2">
      <c r="B162">
        <v>1.52</v>
      </c>
      <c r="C162">
        <f t="shared" si="4"/>
        <v>-0.14548635418752595</v>
      </c>
      <c r="D162">
        <v>1.52</v>
      </c>
      <c r="E162">
        <f t="shared" si="5"/>
        <v>1.5250065325467979E-2</v>
      </c>
    </row>
    <row r="163" spans="2:5" x14ac:dyDescent="0.2">
      <c r="B163">
        <v>1.53</v>
      </c>
      <c r="C163">
        <f t="shared" si="4"/>
        <v>-0.13391172189381023</v>
      </c>
      <c r="D163">
        <v>1.53</v>
      </c>
      <c r="E163">
        <f t="shared" si="5"/>
        <v>1.436431194107541E-2</v>
      </c>
    </row>
    <row r="164" spans="2:5" x14ac:dyDescent="0.2">
      <c r="B164">
        <v>1.54</v>
      </c>
      <c r="C164">
        <f t="shared" si="4"/>
        <v>-0.1193781821771811</v>
      </c>
      <c r="D164">
        <v>1.54</v>
      </c>
      <c r="E164">
        <f t="shared" si="5"/>
        <v>1.3190322875082389E-2</v>
      </c>
    </row>
    <row r="165" spans="2:5" x14ac:dyDescent="0.2">
      <c r="B165">
        <v>1.55</v>
      </c>
      <c r="C165">
        <f t="shared" si="4"/>
        <v>-0.10219505604090896</v>
      </c>
      <c r="D165">
        <v>1.55</v>
      </c>
      <c r="E165">
        <f t="shared" si="5"/>
        <v>1.1756059950138537E-2</v>
      </c>
    </row>
    <row r="166" spans="2:5" x14ac:dyDescent="0.2">
      <c r="B166">
        <v>1.56</v>
      </c>
      <c r="C166">
        <f t="shared" si="4"/>
        <v>-8.2729475155957632E-2</v>
      </c>
      <c r="D166">
        <v>1.56</v>
      </c>
      <c r="E166">
        <f t="shared" si="5"/>
        <v>1.0094981552727112E-2</v>
      </c>
    </row>
    <row r="167" spans="2:5" x14ac:dyDescent="0.2">
      <c r="B167">
        <v>1.57</v>
      </c>
      <c r="C167">
        <f t="shared" si="4"/>
        <v>-6.1398451449193869E-2</v>
      </c>
      <c r="D167">
        <v>1.57</v>
      </c>
      <c r="E167">
        <f t="shared" si="5"/>
        <v>8.2453034937252784E-3</v>
      </c>
    </row>
    <row r="168" spans="2:5" x14ac:dyDescent="0.2">
      <c r="B168">
        <v>1.58</v>
      </c>
      <c r="C168">
        <f t="shared" si="4"/>
        <v>-3.8659862735820401E-2</v>
      </c>
      <c r="D168">
        <v>1.58</v>
      </c>
      <c r="E168">
        <f t="shared" si="5"/>
        <v>6.2491576207510963E-3</v>
      </c>
    </row>
    <row r="169" spans="2:5" x14ac:dyDescent="0.2">
      <c r="B169">
        <v>1.59</v>
      </c>
      <c r="C169">
        <f t="shared" si="4"/>
        <v>-1.5002549724944341E-2</v>
      </c>
      <c r="D169">
        <v>1.59</v>
      </c>
      <c r="E169">
        <f t="shared" si="5"/>
        <v>4.1516665021207304E-3</v>
      </c>
    </row>
    <row r="170" spans="2:5" x14ac:dyDescent="0.2">
      <c r="B170">
        <v>1.6</v>
      </c>
      <c r="C170">
        <f t="shared" si="4"/>
        <v>9.0642609872777086E-3</v>
      </c>
      <c r="D170">
        <v>1.6</v>
      </c>
      <c r="E170">
        <f t="shared" si="5"/>
        <v>1.9999543166847361E-3</v>
      </c>
    </row>
    <row r="171" spans="2:5" x14ac:dyDescent="0.2">
      <c r="B171">
        <v>1.61</v>
      </c>
      <c r="C171">
        <f t="shared" si="4"/>
        <v>3.3021978690454909E-2</v>
      </c>
      <c r="D171">
        <v>1.61</v>
      </c>
      <c r="E171">
        <f t="shared" si="5"/>
        <v>-1.5788453878160273E-4</v>
      </c>
    </row>
    <row r="172" spans="2:5" x14ac:dyDescent="0.2">
      <c r="B172">
        <v>1.62</v>
      </c>
      <c r="C172">
        <f t="shared" si="4"/>
        <v>5.6353876191241693E-2</v>
      </c>
      <c r="D172">
        <v>1.62</v>
      </c>
      <c r="E172">
        <f t="shared" si="5"/>
        <v>-2.2738367024363387E-3</v>
      </c>
    </row>
    <row r="173" spans="2:5" x14ac:dyDescent="0.2">
      <c r="B173">
        <v>1.63</v>
      </c>
      <c r="C173">
        <f t="shared" si="4"/>
        <v>7.855627991508958E-2</v>
      </c>
      <c r="D173">
        <v>1.63</v>
      </c>
      <c r="E173">
        <f t="shared" si="5"/>
        <v>-4.3010181143441429E-3</v>
      </c>
    </row>
    <row r="174" spans="2:5" x14ac:dyDescent="0.2">
      <c r="B174">
        <v>1.64</v>
      </c>
      <c r="C174">
        <f t="shared" si="4"/>
        <v>9.9149479887852499E-2</v>
      </c>
      <c r="D174">
        <v>1.64</v>
      </c>
      <c r="E174">
        <f t="shared" si="5"/>
        <v>-6.1946965232450085E-3</v>
      </c>
    </row>
    <row r="175" spans="2:5" x14ac:dyDescent="0.2">
      <c r="B175">
        <v>1.65</v>
      </c>
      <c r="C175">
        <f t="shared" si="4"/>
        <v>0.11768812306457614</v>
      </c>
      <c r="D175">
        <v>1.65</v>
      </c>
      <c r="E175">
        <f t="shared" si="5"/>
        <v>-7.9132660247537359E-3</v>
      </c>
    </row>
    <row r="176" spans="2:5" x14ac:dyDescent="0.2">
      <c r="B176">
        <v>1.66</v>
      </c>
      <c r="C176">
        <f t="shared" si="4"/>
        <v>0.133770864660164</v>
      </c>
      <c r="D176">
        <v>1.66</v>
      </c>
      <c r="E176">
        <f t="shared" si="5"/>
        <v>-9.4191524704180917E-3</v>
      </c>
    </row>
    <row r="177" spans="2:5" x14ac:dyDescent="0.2">
      <c r="B177">
        <v>1.67</v>
      </c>
      <c r="C177">
        <f t="shared" si="4"/>
        <v>0.14704906821073369</v>
      </c>
      <c r="D177">
        <v>1.67</v>
      </c>
      <c r="E177">
        <f t="shared" si="5"/>
        <v>-1.0679630093914171E-2</v>
      </c>
    </row>
    <row r="178" spans="2:5" x14ac:dyDescent="0.2">
      <c r="B178">
        <v>1.68</v>
      </c>
      <c r="C178">
        <f t="shared" si="4"/>
        <v>0.15723436570697671</v>
      </c>
      <c r="D178">
        <v>1.68</v>
      </c>
      <c r="E178">
        <f t="shared" si="5"/>
        <v>-1.1667531633854497E-2</v>
      </c>
    </row>
    <row r="179" spans="2:5" x14ac:dyDescent="0.2">
      <c r="B179">
        <v>1.69</v>
      </c>
      <c r="C179">
        <f t="shared" si="4"/>
        <v>0.16410491384467793</v>
      </c>
      <c r="D179">
        <v>1.69</v>
      </c>
      <c r="E179">
        <f t="shared" si="5"/>
        <v>-1.2361836550247382E-2</v>
      </c>
    </row>
    <row r="180" spans="2:5" x14ac:dyDescent="0.2">
      <c r="B180">
        <v>1.7</v>
      </c>
      <c r="C180">
        <f t="shared" si="4"/>
        <v>0.16751021069716004</v>
      </c>
      <c r="D180">
        <v>1.7</v>
      </c>
      <c r="E180">
        <f t="shared" si="5"/>
        <v>-1.2748124583275466E-2</v>
      </c>
    </row>
    <row r="181" spans="2:5" x14ac:dyDescent="0.2">
      <c r="B181">
        <v>1.71</v>
      </c>
      <c r="C181">
        <f t="shared" si="4"/>
        <v>0.16737436831696564</v>
      </c>
      <c r="D181">
        <v>1.71</v>
      </c>
      <c r="E181">
        <f t="shared" si="5"/>
        <v>-1.2818884831201131E-2</v>
      </c>
    </row>
    <row r="182" spans="2:5" x14ac:dyDescent="0.2">
      <c r="B182">
        <v>1.72</v>
      </c>
      <c r="C182">
        <f t="shared" si="4"/>
        <v>0.16369777024301202</v>
      </c>
      <c r="D182">
        <v>1.72</v>
      </c>
      <c r="E182">
        <f t="shared" si="5"/>
        <v>-1.2573673665310559E-2</v>
      </c>
    </row>
    <row r="183" spans="2:5" x14ac:dyDescent="0.2">
      <c r="B183">
        <v>1.73</v>
      </c>
      <c r="C183">
        <f t="shared" si="4"/>
        <v>0.1565570778989705</v>
      </c>
      <c r="D183">
        <v>1.73</v>
      </c>
      <c r="E183">
        <f t="shared" si="5"/>
        <v>-1.2019118085708103E-2</v>
      </c>
    </row>
    <row r="184" spans="2:5" x14ac:dyDescent="0.2">
      <c r="B184">
        <v>1.74</v>
      </c>
      <c r="C184">
        <f t="shared" si="4"/>
        <v>0.14610358565959336</v>
      </c>
      <c r="D184">
        <v>1.74</v>
      </c>
      <c r="E184">
        <f t="shared" si="5"/>
        <v>-1.1168764481163898E-2</v>
      </c>
    </row>
    <row r="185" spans="2:5" x14ac:dyDescent="0.2">
      <c r="B185">
        <v>1.75</v>
      </c>
      <c r="C185">
        <f t="shared" si="4"/>
        <v>0.13255996015800187</v>
      </c>
      <c r="D185">
        <v>1.75</v>
      </c>
      <c r="E185">
        <f t="shared" si="5"/>
        <v>-1.0042776116199661E-2</v>
      </c>
    </row>
    <row r="186" spans="2:5" x14ac:dyDescent="0.2">
      <c r="B186">
        <v>1.76</v>
      </c>
      <c r="C186">
        <f t="shared" si="4"/>
        <v>0.11621543443233995</v>
      </c>
      <c r="D186">
        <v>1.76</v>
      </c>
      <c r="E186">
        <f t="shared" si="5"/>
        <v>-8.6674859562607069E-3</v>
      </c>
    </row>
    <row r="187" spans="2:5" x14ac:dyDescent="0.2">
      <c r="B187">
        <v>1.77</v>
      </c>
      <c r="C187">
        <f t="shared" si="4"/>
        <v>9.7419561005157779E-2</v>
      </c>
      <c r="D187">
        <v>1.77</v>
      </c>
      <c r="E187">
        <f t="shared" si="5"/>
        <v>-7.0748145858246488E-3</v>
      </c>
    </row>
    <row r="188" spans="2:5" x14ac:dyDescent="0.2">
      <c r="B188">
        <v>1.78</v>
      </c>
      <c r="C188">
        <f t="shared" si="4"/>
        <v>7.6574659227111375E-2</v>
      </c>
      <c r="D188">
        <v>1.78</v>
      </c>
      <c r="E188">
        <f t="shared" si="5"/>
        <v>-5.3015659064168039E-3</v>
      </c>
    </row>
    <row r="189" spans="2:5" x14ac:dyDescent="0.2">
      <c r="B189">
        <v>1.79</v>
      </c>
      <c r="C189">
        <f t="shared" si="4"/>
        <v>5.4127120520612512E-2</v>
      </c>
      <c r="D189">
        <v>1.79</v>
      </c>
      <c r="E189">
        <f t="shared" si="5"/>
        <v>-3.3886159581095515E-3</v>
      </c>
    </row>
    <row r="190" spans="2:5" x14ac:dyDescent="0.2">
      <c r="B190">
        <v>1.8</v>
      </c>
      <c r="C190">
        <f t="shared" si="4"/>
        <v>3.0557759915236495E-2</v>
      </c>
      <c r="D190">
        <v>1.8</v>
      </c>
      <c r="E190">
        <f t="shared" si="5"/>
        <v>-1.3800125315328539E-3</v>
      </c>
    </row>
    <row r="191" spans="2:5" x14ac:dyDescent="0.2">
      <c r="B191">
        <v>1.81</v>
      </c>
      <c r="C191">
        <f t="shared" si="4"/>
        <v>6.371422938106875E-3</v>
      </c>
      <c r="D191">
        <v>1.81</v>
      </c>
      <c r="E191">
        <f t="shared" si="5"/>
        <v>6.7799482271049133E-4</v>
      </c>
    </row>
    <row r="192" spans="2:5" x14ac:dyDescent="0.2">
      <c r="B192">
        <v>1.82</v>
      </c>
      <c r="C192">
        <f t="shared" si="4"/>
        <v>-1.7913926939054851E-2</v>
      </c>
      <c r="D192">
        <v>1.82</v>
      </c>
      <c r="E192">
        <f t="shared" si="5"/>
        <v>2.7379732661444401E-3</v>
      </c>
    </row>
    <row r="193" spans="2:5" x14ac:dyDescent="0.2">
      <c r="B193">
        <v>1.83</v>
      </c>
      <c r="C193">
        <f t="shared" si="4"/>
        <v>-4.1778403839005121E-2</v>
      </c>
      <c r="D193">
        <v>1.83</v>
      </c>
      <c r="E193">
        <f t="shared" si="5"/>
        <v>4.7523514493170559E-3</v>
      </c>
    </row>
    <row r="194" spans="2:5" x14ac:dyDescent="0.2">
      <c r="B194">
        <v>1.84</v>
      </c>
      <c r="C194">
        <f t="shared" si="4"/>
        <v>-6.471143541837035E-2</v>
      </c>
      <c r="D194">
        <v>1.84</v>
      </c>
      <c r="E194">
        <f t="shared" si="5"/>
        <v>6.6744678426046691E-3</v>
      </c>
    </row>
    <row r="195" spans="2:5" x14ac:dyDescent="0.2">
      <c r="B195">
        <v>1.85</v>
      </c>
      <c r="C195">
        <f t="shared" si="4"/>
        <v>-8.622279575278477E-2</v>
      </c>
      <c r="D195">
        <v>1.85</v>
      </c>
      <c r="E195">
        <f t="shared" si="5"/>
        <v>8.4595997897980984E-3</v>
      </c>
    </row>
    <row r="196" spans="2:5" x14ac:dyDescent="0.2">
      <c r="B196">
        <v>1.86</v>
      </c>
      <c r="C196">
        <f t="shared" si="4"/>
        <v>-0.10585319612307828</v>
      </c>
      <c r="D196">
        <v>1.86</v>
      </c>
      <c r="E196">
        <f t="shared" si="5"/>
        <v>1.0065950868811756E-2</v>
      </c>
    </row>
    <row r="197" spans="2:5" x14ac:dyDescent="0.2">
      <c r="B197">
        <v>1.87</v>
      </c>
      <c r="C197">
        <f t="shared" si="4"/>
        <v>-0.1231842042506055</v>
      </c>
      <c r="D197">
        <v>1.87</v>
      </c>
      <c r="E197">
        <f t="shared" si="5"/>
        <v>1.1455575046020131E-2</v>
      </c>
    </row>
    <row r="198" spans="2:5" x14ac:dyDescent="0.2">
      <c r="B198">
        <v>1.88</v>
      </c>
      <c r="C198">
        <f t="shared" si="4"/>
        <v>-0.13784727709750294</v>
      </c>
      <c r="D198">
        <v>1.88</v>
      </c>
      <c r="E198">
        <f t="shared" si="5"/>
        <v>1.2595217480041639E-2</v>
      </c>
    </row>
    <row r="199" spans="2:5" x14ac:dyDescent="0.2">
      <c r="B199">
        <v>1.89</v>
      </c>
      <c r="C199">
        <f t="shared" si="4"/>
        <v>-0.14953171157425357</v>
      </c>
      <c r="D199">
        <v>1.89</v>
      </c>
      <c r="E199">
        <f t="shared" si="5"/>
        <v>1.345705363756191E-2</v>
      </c>
    </row>
    <row r="200" spans="2:5" x14ac:dyDescent="0.2">
      <c r="B200">
        <v>1.9</v>
      </c>
      <c r="C200">
        <f t="shared" si="4"/>
        <v>-0.15799134096547915</v>
      </c>
      <c r="D200">
        <v>1.9</v>
      </c>
      <c r="E200">
        <f t="shared" si="5"/>
        <v>1.4019310588843573E-2</v>
      </c>
    </row>
    <row r="201" spans="2:5" x14ac:dyDescent="0.2">
      <c r="B201">
        <v>1.91</v>
      </c>
      <c r="C201">
        <f t="shared" si="4"/>
        <v>-0.16304983208636797</v>
      </c>
      <c r="D201">
        <v>1.91</v>
      </c>
      <c r="E201">
        <f t="shared" si="5"/>
        <v>1.4266756906082647E-2</v>
      </c>
    </row>
    <row r="202" spans="2:5" x14ac:dyDescent="0.2">
      <c r="B202">
        <v>1.92</v>
      </c>
      <c r="C202">
        <f t="shared" si="4"/>
        <v>-0.16460446852666055</v>
      </c>
      <c r="D202">
        <v>1.92</v>
      </c>
      <c r="E202">
        <f t="shared" si="5"/>
        <v>1.4191050438321567E-2</v>
      </c>
    </row>
    <row r="203" spans="2:5" x14ac:dyDescent="0.2">
      <c r="B203">
        <v>1.93</v>
      </c>
      <c r="C203">
        <f t="shared" ref="C203:C242" si="6">$F$5*COS($G$5*B203)+$I$5*SIN($J$5*B203)+$L$5*COS($M$5*B203)+$O$5*SIN($P$5*B203)</f>
        <v>-0.16262833816858052</v>
      </c>
      <c r="D203">
        <v>1.93</v>
      </c>
      <c r="E203">
        <f t="shared" ref="E203:E242" si="7">$S$5*COS($T$5*B203)+$V$5*SIN($W$5*B203)+$Y$5*COS($Z$5*B203)+$AB$5*SIN($AC$5*B203)</f>
        <v>1.3790936320388036E-2</v>
      </c>
    </row>
    <row r="204" spans="2:5" x14ac:dyDescent="0.2">
      <c r="B204">
        <v>1.94</v>
      </c>
      <c r="C204">
        <f t="shared" si="6"/>
        <v>-0.15717087776753963</v>
      </c>
      <c r="D204">
        <v>1.94</v>
      </c>
      <c r="E204">
        <f t="shared" si="7"/>
        <v>1.3072290823410902E-2</v>
      </c>
    </row>
    <row r="205" spans="2:5" x14ac:dyDescent="0.2">
      <c r="B205">
        <v>1.95</v>
      </c>
      <c r="C205">
        <f t="shared" si="6"/>
        <v>-0.14835676300944942</v>
      </c>
      <c r="D205">
        <v>1.95</v>
      </c>
      <c r="E205">
        <f t="shared" si="7"/>
        <v>1.204801000036998E-2</v>
      </c>
    </row>
    <row r="206" spans="2:5" x14ac:dyDescent="0.2">
      <c r="B206">
        <v>1.96</v>
      </c>
      <c r="C206">
        <f t="shared" si="6"/>
        <v>-0.13638316833346331</v>
      </c>
      <c r="D206">
        <v>1.96</v>
      </c>
      <c r="E206">
        <f t="shared" si="7"/>
        <v>1.0737745449288797E-2</v>
      </c>
    </row>
    <row r="207" spans="2:5" x14ac:dyDescent="0.2">
      <c r="B207">
        <v>1.97</v>
      </c>
      <c r="C207">
        <f t="shared" si="6"/>
        <v>-0.12151545615596171</v>
      </c>
      <c r="D207">
        <v>1.97</v>
      </c>
      <c r="E207">
        <f t="shared" si="7"/>
        <v>9.1674928359902087E-3</v>
      </c>
    </row>
    <row r="208" spans="2:5" x14ac:dyDescent="0.2">
      <c r="B208">
        <v>1.98</v>
      </c>
      <c r="C208">
        <f t="shared" si="6"/>
        <v>-0.10408138918402093</v>
      </c>
      <c r="D208">
        <v>1.98</v>
      </c>
      <c r="E208">
        <f t="shared" si="7"/>
        <v>7.3690420157957754E-3</v>
      </c>
    </row>
    <row r="209" spans="2:5" x14ac:dyDescent="0.2">
      <c r="B209">
        <v>1.99</v>
      </c>
      <c r="C209">
        <f t="shared" si="6"/>
        <v>-8.4463991526055299E-2</v>
      </c>
      <c r="D209">
        <v>1.99</v>
      </c>
      <c r="E209">
        <f t="shared" si="7"/>
        <v>5.3793005997933635E-3</v>
      </c>
    </row>
    <row r="210" spans="2:5" x14ac:dyDescent="0.2">
      <c r="B210">
        <v>2</v>
      </c>
      <c r="C210">
        <f t="shared" si="6"/>
        <v>-6.3093213599394585E-2</v>
      </c>
      <c r="D210">
        <v>2</v>
      </c>
      <c r="E210">
        <f t="shared" si="7"/>
        <v>3.239505561097119E-3</v>
      </c>
    </row>
    <row r="211" spans="2:5" x14ac:dyDescent="0.2">
      <c r="B211">
        <v>2.0099999999999998</v>
      </c>
      <c r="C211">
        <f t="shared" si="6"/>
        <v>-4.043658176409784E-2</v>
      </c>
      <c r="D211">
        <v>2.0099999999999998</v>
      </c>
      <c r="E211">
        <f t="shared" si="7"/>
        <v>9.9433991021655047E-4</v>
      </c>
    </row>
    <row r="212" spans="2:5" x14ac:dyDescent="0.2">
      <c r="B212">
        <v>2.02</v>
      </c>
      <c r="C212">
        <f t="shared" si="6"/>
        <v>-1.6989035616979571E-2</v>
      </c>
      <c r="D212">
        <v>2.02</v>
      </c>
      <c r="E212">
        <f t="shared" si="7"/>
        <v>-1.3090264665798646E-3</v>
      </c>
    </row>
    <row r="213" spans="2:5" x14ac:dyDescent="0.2">
      <c r="B213">
        <v>2.0299999999999998</v>
      </c>
      <c r="C213">
        <f t="shared" si="6"/>
        <v>6.7378265174211725E-3</v>
      </c>
      <c r="D213">
        <v>2.0299999999999998</v>
      </c>
      <c r="E213">
        <f t="shared" si="7"/>
        <v>-3.6219510609828949E-3</v>
      </c>
    </row>
    <row r="214" spans="2:5" x14ac:dyDescent="0.2">
      <c r="B214">
        <v>2.04</v>
      </c>
      <c r="C214">
        <f t="shared" si="6"/>
        <v>3.0226860543155026E-2</v>
      </c>
      <c r="D214">
        <v>2.04</v>
      </c>
      <c r="E214">
        <f t="shared" si="7"/>
        <v>-5.8953661420644904E-3</v>
      </c>
    </row>
    <row r="215" spans="2:5" x14ac:dyDescent="0.2">
      <c r="B215">
        <v>2.0499999999999998</v>
      </c>
      <c r="C215">
        <f t="shared" si="6"/>
        <v>5.2966606883137139E-2</v>
      </c>
      <c r="D215">
        <v>2.0499999999999998</v>
      </c>
      <c r="E215">
        <f t="shared" si="7"/>
        <v>-8.0808366292367852E-3</v>
      </c>
    </row>
    <row r="216" spans="2:5" x14ac:dyDescent="0.2">
      <c r="B216">
        <v>2.06</v>
      </c>
      <c r="C216">
        <f t="shared" si="6"/>
        <v>7.4462394462315729E-2</v>
      </c>
      <c r="D216">
        <v>2.06</v>
      </c>
      <c r="E216">
        <f t="shared" si="7"/>
        <v>-1.0131605532254265E-2</v>
      </c>
    </row>
    <row r="217" spans="2:5" x14ac:dyDescent="0.2">
      <c r="B217">
        <v>2.0699999999999998</v>
      </c>
      <c r="C217">
        <f t="shared" si="6"/>
        <v>9.4247077499259535E-2</v>
      </c>
      <c r="D217">
        <v>2.0699999999999998</v>
      </c>
      <c r="E217">
        <f t="shared" si="7"/>
        <v>-1.2003604314004403E-2</v>
      </c>
    </row>
    <row r="218" spans="2:5" x14ac:dyDescent="0.2">
      <c r="B218">
        <v>2.08</v>
      </c>
      <c r="C218">
        <f t="shared" si="6"/>
        <v>0.11189117220294978</v>
      </c>
      <c r="D218">
        <v>2.08</v>
      </c>
      <c r="E218">
        <f t="shared" si="7"/>
        <v>-1.3656406285013311E-2</v>
      </c>
    </row>
    <row r="219" spans="2:5" x14ac:dyDescent="0.2">
      <c r="B219">
        <v>2.09</v>
      </c>
      <c r="C219">
        <f t="shared" si="6"/>
        <v>0.1270121735040807</v>
      </c>
      <c r="D219">
        <v>2.09</v>
      </c>
      <c r="E219">
        <f t="shared" si="7"/>
        <v>-1.5054102366404658E-2</v>
      </c>
    </row>
    <row r="220" spans="2:5" x14ac:dyDescent="0.2">
      <c r="B220">
        <v>2.1</v>
      </c>
      <c r="C220">
        <f t="shared" si="6"/>
        <v>0.13928284975139946</v>
      </c>
      <c r="D220">
        <v>2.1</v>
      </c>
      <c r="E220">
        <f t="shared" si="7"/>
        <v>-1.6166080233926829E-2</v>
      </c>
    </row>
    <row r="221" spans="2:5" x14ac:dyDescent="0.2">
      <c r="B221">
        <v>2.11</v>
      </c>
      <c r="C221">
        <f t="shared" si="6"/>
        <v>0.14843833548720436</v>
      </c>
      <c r="D221">
        <v>2.11</v>
      </c>
      <c r="E221">
        <f t="shared" si="7"/>
        <v>-1.6967689943287227E-2</v>
      </c>
    </row>
    <row r="222" spans="2:5" x14ac:dyDescent="0.2">
      <c r="B222">
        <v>2.12</v>
      </c>
      <c r="C222">
        <f t="shared" si="6"/>
        <v>0.15428186850102815</v>
      </c>
      <c r="D222">
        <v>2.12</v>
      </c>
      <c r="E222">
        <f t="shared" si="7"/>
        <v>-1.7440781591189031E-2</v>
      </c>
    </row>
    <row r="223" spans="2:5" x14ac:dyDescent="0.2">
      <c r="B223">
        <v>2.13</v>
      </c>
      <c r="C223">
        <f t="shared" si="6"/>
        <v>0.15668904678079046</v>
      </c>
      <c r="D223">
        <v>2.13</v>
      </c>
      <c r="E223">
        <f t="shared" si="7"/>
        <v>-1.7574103333961012E-2</v>
      </c>
    </row>
    <row r="224" spans="2:5" x14ac:dyDescent="0.2">
      <c r="B224">
        <v>2.14</v>
      </c>
      <c r="C224">
        <f t="shared" si="6"/>
        <v>0.15561051309827381</v>
      </c>
      <c r="D224">
        <v>2.14</v>
      </c>
      <c r="E224">
        <f t="shared" si="7"/>
        <v>-1.7363551106540372E-2</v>
      </c>
    </row>
    <row r="225" spans="2:5" x14ac:dyDescent="0.2">
      <c r="B225">
        <v>2.15</v>
      </c>
      <c r="C225">
        <f t="shared" si="6"/>
        <v>0.15107300908392371</v>
      </c>
      <c r="D225">
        <v>2.15</v>
      </c>
      <c r="E225">
        <f t="shared" si="7"/>
        <v>-1.6812264593333057E-2</v>
      </c>
    </row>
    <row r="226" spans="2:5" x14ac:dyDescent="0.2">
      <c r="B226">
        <v>2.16</v>
      </c>
      <c r="C226">
        <f t="shared" si="6"/>
        <v>0.1431787760247212</v>
      </c>
      <c r="D226">
        <v>2.16</v>
      </c>
      <c r="E226">
        <f t="shared" si="7"/>
        <v>-1.593056732959424E-2</v>
      </c>
    </row>
    <row r="227" spans="2:5" x14ac:dyDescent="0.2">
      <c r="B227">
        <v>2.17</v>
      </c>
      <c r="C227">
        <f t="shared" si="6"/>
        <v>0.13210331549081428</v>
      </c>
      <c r="D227">
        <v>2.17</v>
      </c>
      <c r="E227">
        <f t="shared" si="7"/>
        <v>-1.4735752185325178E-2</v>
      </c>
    </row>
    <row r="228" spans="2:5" x14ac:dyDescent="0.2">
      <c r="B228">
        <v>2.1800000000000002</v>
      </c>
      <c r="C228">
        <f t="shared" si="6"/>
        <v>0.11809155848366237</v>
      </c>
      <c r="D228">
        <v>2.1800000000000002</v>
      </c>
      <c r="E228">
        <f t="shared" si="7"/>
        <v>-1.3251716830153335E-2</v>
      </c>
    </row>
    <row r="229" spans="2:5" x14ac:dyDescent="0.2">
      <c r="B229">
        <v>2.19</v>
      </c>
      <c r="C229">
        <f t="shared" si="6"/>
        <v>0.10145252632879319</v>
      </c>
      <c r="D229">
        <v>2.19</v>
      </c>
      <c r="E229">
        <f t="shared" si="7"/>
        <v>-1.1508457024715838E-2</v>
      </c>
    </row>
    <row r="230" spans="2:5" x14ac:dyDescent="0.2">
      <c r="B230">
        <v>2.2000000000000002</v>
      </c>
      <c r="C230">
        <f t="shared" si="6"/>
        <v>8.255259926086729E-2</v>
      </c>
      <c r="D230">
        <v>2.2000000000000002</v>
      </c>
      <c r="E230">
        <f t="shared" si="7"/>
        <v>-9.5414286613127522E-3</v>
      </c>
    </row>
    <row r="231" spans="2:5" x14ac:dyDescent="0.2">
      <c r="B231">
        <v>2.21</v>
      </c>
      <c r="C231">
        <f t="shared" si="6"/>
        <v>6.1807538857883898E-2</v>
      </c>
      <c r="D231">
        <v>2.21</v>
      </c>
      <c r="E231">
        <f t="shared" si="7"/>
        <v>-7.3907923173426194E-3</v>
      </c>
    </row>
    <row r="232" spans="2:5" x14ac:dyDescent="0.2">
      <c r="B232">
        <v>2.2200000000000002</v>
      </c>
      <c r="C232">
        <f t="shared" si="6"/>
        <v>3.967343751969387E-2</v>
      </c>
      <c r="D232">
        <v>2.2200000000000002</v>
      </c>
      <c r="E232">
        <f t="shared" si="7"/>
        <v>-5.1005566276916556E-3</v>
      </c>
    </row>
    <row r="233" spans="2:5" x14ac:dyDescent="0.2">
      <c r="B233">
        <v>2.23</v>
      </c>
      <c r="C233">
        <f t="shared" si="6"/>
        <v>1.6636791467196266E-2</v>
      </c>
      <c r="D233">
        <v>2.23</v>
      </c>
      <c r="E233">
        <f t="shared" si="7"/>
        <v>-2.7176389717212283E-3</v>
      </c>
    </row>
    <row r="234" spans="2:5" x14ac:dyDescent="0.2">
      <c r="B234">
        <v>2.2400000000000002</v>
      </c>
      <c r="C234">
        <f t="shared" si="6"/>
        <v>-6.7960872424947302E-3</v>
      </c>
      <c r="D234">
        <v>2.2400000000000002</v>
      </c>
      <c r="E234">
        <f t="shared" si="7"/>
        <v>-2.9086375931010886E-4</v>
      </c>
    </row>
    <row r="235" spans="2:5" x14ac:dyDescent="0.2">
      <c r="B235">
        <v>2.25</v>
      </c>
      <c r="C235">
        <f t="shared" si="6"/>
        <v>-3.011008984527426E-2</v>
      </c>
      <c r="D235">
        <v>2.25</v>
      </c>
      <c r="E235">
        <f t="shared" si="7"/>
        <v>2.1300800501843509E-3</v>
      </c>
    </row>
    <row r="236" spans="2:5" x14ac:dyDescent="0.2">
      <c r="B236">
        <v>2.2599999999999998</v>
      </c>
      <c r="C236">
        <f t="shared" si="6"/>
        <v>-5.2792521945729406E-2</v>
      </c>
      <c r="D236">
        <v>2.2599999999999998</v>
      </c>
      <c r="E236">
        <f t="shared" si="7"/>
        <v>4.495699681455391E-3</v>
      </c>
    </row>
    <row r="237" spans="2:5" x14ac:dyDescent="0.2">
      <c r="B237">
        <v>2.27</v>
      </c>
      <c r="C237">
        <f t="shared" si="6"/>
        <v>-7.4344263171706698E-2</v>
      </c>
      <c r="D237">
        <v>2.27</v>
      </c>
      <c r="E237">
        <f t="shared" si="7"/>
        <v>6.757754621672378E-3</v>
      </c>
    </row>
    <row r="238" spans="2:5" x14ac:dyDescent="0.2">
      <c r="B238">
        <v>2.2799999999999998</v>
      </c>
      <c r="C238">
        <f t="shared" si="6"/>
        <v>-9.4290633150047112E-2</v>
      </c>
      <c r="D238">
        <v>2.2799999999999998</v>
      </c>
      <c r="E238">
        <f t="shared" si="7"/>
        <v>8.8702852394713684E-3</v>
      </c>
    </row>
    <row r="239" spans="2:5" x14ac:dyDescent="0.2">
      <c r="B239">
        <v>2.29</v>
      </c>
      <c r="C239">
        <f t="shared" si="6"/>
        <v>-0.11219172791084472</v>
      </c>
      <c r="D239">
        <v>2.29</v>
      </c>
      <c r="E239">
        <f t="shared" si="7"/>
        <v>1.0790591737432728E-2</v>
      </c>
    </row>
    <row r="240" spans="2:5" x14ac:dyDescent="0.2">
      <c r="B240">
        <v>2.2999999999999998</v>
      </c>
      <c r="C240">
        <f t="shared" si="6"/>
        <v>-0.12765200230991045</v>
      </c>
      <c r="D240">
        <v>2.2999999999999998</v>
      </c>
      <c r="E240">
        <f t="shared" si="7"/>
        <v>1.2480142309252752E-2</v>
      </c>
    </row>
    <row r="241" spans="2:5" x14ac:dyDescent="0.2">
      <c r="B241">
        <v>2.31</v>
      </c>
      <c r="C241">
        <f t="shared" si="6"/>
        <v>-0.14032889040979785</v>
      </c>
      <c r="D241">
        <v>2.31</v>
      </c>
      <c r="E241">
        <f t="shared" si="7"/>
        <v>1.3905390908753545E-2</v>
      </c>
    </row>
    <row r="242" spans="2:5" x14ac:dyDescent="0.2">
      <c r="B242">
        <v>2.3199999999999998</v>
      </c>
      <c r="C242">
        <f t="shared" si="6"/>
        <v>-0.14994027662399048</v>
      </c>
      <c r="D242">
        <v>2.3199999999999998</v>
      </c>
      <c r="E242">
        <f t="shared" si="7"/>
        <v>1.5038486998130146E-2</v>
      </c>
    </row>
  </sheetData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8"/>
  <sheetViews>
    <sheetView zoomScaleNormal="100" workbookViewId="0">
      <selection activeCell="V3" sqref="V3:W4"/>
    </sheetView>
  </sheetViews>
  <sheetFormatPr defaultRowHeight="12.75" x14ac:dyDescent="0.2"/>
  <cols>
    <col min="1" max="1" width="11.28515625" bestFit="1" customWidth="1"/>
    <col min="3" max="3" width="11.28515625" bestFit="1" customWidth="1"/>
    <col min="4" max="5" width="9.28515625" bestFit="1" customWidth="1"/>
    <col min="6" max="6" width="11.7109375" bestFit="1" customWidth="1"/>
    <col min="7" max="7" width="9.28515625" bestFit="1" customWidth="1"/>
    <col min="8" max="8" width="11.7109375" bestFit="1" customWidth="1"/>
    <col min="9" max="9" width="9.28515625" bestFit="1" customWidth="1"/>
    <col min="12" max="14" width="9.5703125" bestFit="1" customWidth="1"/>
    <col min="15" max="15" width="13.5703125" customWidth="1"/>
    <col min="16" max="16" width="12.5703125" bestFit="1" customWidth="1"/>
    <col min="17" max="18" width="9.5703125" bestFit="1" customWidth="1"/>
    <col min="20" max="22" width="9.5703125" bestFit="1" customWidth="1"/>
  </cols>
  <sheetData>
    <row r="1" spans="1:23" ht="21" x14ac:dyDescent="0.35">
      <c r="E1" s="99" t="s">
        <v>288</v>
      </c>
    </row>
    <row r="2" spans="1:23" x14ac:dyDescent="0.2">
      <c r="V2" s="7" t="s">
        <v>49</v>
      </c>
      <c r="W2" s="7" t="s">
        <v>294</v>
      </c>
    </row>
    <row r="3" spans="1:23" x14ac:dyDescent="0.2">
      <c r="H3" s="4" t="s">
        <v>46</v>
      </c>
      <c r="I3" s="4" t="s">
        <v>46</v>
      </c>
      <c r="J3" s="4" t="s">
        <v>46</v>
      </c>
      <c r="K3" s="4" t="s">
        <v>294</v>
      </c>
      <c r="L3" s="4" t="s">
        <v>294</v>
      </c>
      <c r="V3" s="177" t="s">
        <v>34</v>
      </c>
      <c r="W3" s="177" t="s">
        <v>41</v>
      </c>
    </row>
    <row r="4" spans="1:23" ht="13.5" thickBot="1" x14ac:dyDescent="0.25">
      <c r="H4" s="4" t="s">
        <v>287</v>
      </c>
      <c r="I4" s="4" t="s">
        <v>283</v>
      </c>
      <c r="J4" s="4" t="s">
        <v>284</v>
      </c>
      <c r="K4" s="4" t="s">
        <v>285</v>
      </c>
      <c r="L4" s="4" t="s">
        <v>286</v>
      </c>
      <c r="V4" s="125">
        <v>10000</v>
      </c>
      <c r="W4" s="149">
        <f>1/V4</f>
        <v>1E-4</v>
      </c>
    </row>
    <row r="5" spans="1:23" ht="13.5" thickBot="1" x14ac:dyDescent="0.25">
      <c r="H5" s="138">
        <v>2</v>
      </c>
      <c r="I5" s="139">
        <v>4</v>
      </c>
      <c r="J5" s="139">
        <v>5</v>
      </c>
      <c r="K5" s="116">
        <v>1E-4</v>
      </c>
      <c r="L5" s="116">
        <v>2.0000000000000001E-4</v>
      </c>
    </row>
    <row r="10" spans="1:23" ht="15.75" x14ac:dyDescent="0.3">
      <c r="I10" s="143" t="s">
        <v>218</v>
      </c>
      <c r="M10" s="143" t="s">
        <v>217</v>
      </c>
      <c r="Q10" s="135" t="s">
        <v>335</v>
      </c>
      <c r="U10" s="135" t="s">
        <v>336</v>
      </c>
    </row>
    <row r="11" spans="1:23" x14ac:dyDescent="0.2">
      <c r="H11" s="129">
        <f>H5</f>
        <v>2</v>
      </c>
      <c r="I11" s="129">
        <v>0</v>
      </c>
      <c r="J11" s="129">
        <v>0</v>
      </c>
      <c r="L11" s="144">
        <f>1/K5</f>
        <v>10000</v>
      </c>
      <c r="M11" s="144">
        <f>-1/K5</f>
        <v>-10000</v>
      </c>
      <c r="N11" s="144">
        <v>0</v>
      </c>
      <c r="P11" s="145">
        <f>L11-F17*H11</f>
        <v>6579.4944505860813</v>
      </c>
      <c r="Q11" s="145">
        <f>M11</f>
        <v>-10000</v>
      </c>
      <c r="R11" s="129">
        <f>N11</f>
        <v>0</v>
      </c>
      <c r="T11" s="145">
        <f>L11-H17*H11</f>
        <v>-6079.4944505860803</v>
      </c>
      <c r="U11" s="145">
        <f>Q11</f>
        <v>-10000</v>
      </c>
      <c r="V11" s="129">
        <f>R11</f>
        <v>0</v>
      </c>
    </row>
    <row r="12" spans="1:23" x14ac:dyDescent="0.2">
      <c r="H12" s="129">
        <v>0</v>
      </c>
      <c r="I12" s="129">
        <f>I5</f>
        <v>4</v>
      </c>
      <c r="J12" s="129">
        <v>0</v>
      </c>
      <c r="L12" s="144">
        <f>M11</f>
        <v>-10000</v>
      </c>
      <c r="M12" s="144">
        <f>(1/K5+1/L5)</f>
        <v>15000</v>
      </c>
      <c r="N12" s="144">
        <f>-1/L5</f>
        <v>-5000</v>
      </c>
      <c r="P12" s="145">
        <f>L12</f>
        <v>-10000</v>
      </c>
      <c r="Q12" s="145">
        <f>M12-F17*I12</f>
        <v>8158.9889011721625</v>
      </c>
      <c r="R12" s="145">
        <f>N12</f>
        <v>-5000</v>
      </c>
      <c r="T12" s="145">
        <f>P12</f>
        <v>-10000</v>
      </c>
      <c r="U12" s="145">
        <f>M12-H17*I12</f>
        <v>-17158.988901172161</v>
      </c>
      <c r="V12" s="145">
        <f>R12</f>
        <v>-5000</v>
      </c>
    </row>
    <row r="13" spans="1:23" x14ac:dyDescent="0.2">
      <c r="H13" s="129">
        <v>0</v>
      </c>
      <c r="I13" s="129">
        <v>0</v>
      </c>
      <c r="J13" s="129">
        <f>J5</f>
        <v>5</v>
      </c>
      <c r="L13" s="144">
        <v>0</v>
      </c>
      <c r="M13" s="144">
        <f>N12</f>
        <v>-5000</v>
      </c>
      <c r="N13" s="144">
        <f>1/L5</f>
        <v>5000</v>
      </c>
      <c r="P13" s="129">
        <f>L13</f>
        <v>0</v>
      </c>
      <c r="Q13" s="145">
        <f>M13</f>
        <v>-5000</v>
      </c>
      <c r="R13" s="145">
        <f>N13-F17*J13</f>
        <v>-3551.2638735347973</v>
      </c>
      <c r="T13" s="129">
        <f>P13</f>
        <v>0</v>
      </c>
      <c r="U13" s="145">
        <f>Q13</f>
        <v>-5000</v>
      </c>
      <c r="V13" s="145">
        <f>N13-H17*J13</f>
        <v>-35198.736126465199</v>
      </c>
    </row>
    <row r="15" spans="1:23" ht="21" x14ac:dyDescent="0.35">
      <c r="G15" s="4" t="s">
        <v>48</v>
      </c>
      <c r="H15" s="4"/>
      <c r="I15" s="4" t="s">
        <v>48</v>
      </c>
      <c r="O15" s="141" t="s">
        <v>333</v>
      </c>
      <c r="P15" s="142" t="s">
        <v>334</v>
      </c>
    </row>
    <row r="16" spans="1:23" ht="21.75" x14ac:dyDescent="0.35">
      <c r="A16" s="102" t="s">
        <v>224</v>
      </c>
      <c r="B16" s="102"/>
      <c r="C16" s="102" t="s">
        <v>39</v>
      </c>
      <c r="D16" s="102" t="s">
        <v>40</v>
      </c>
      <c r="E16" s="102" t="s">
        <v>41</v>
      </c>
      <c r="F16" s="80" t="s">
        <v>289</v>
      </c>
      <c r="G16" s="100" t="s">
        <v>290</v>
      </c>
      <c r="H16" s="80" t="s">
        <v>291</v>
      </c>
      <c r="I16" s="101" t="s">
        <v>292</v>
      </c>
      <c r="L16" s="27">
        <f>P12*Q13</f>
        <v>50000000</v>
      </c>
      <c r="M16" s="27">
        <f>T12*U13-T13*U12</f>
        <v>50000000</v>
      </c>
      <c r="N16">
        <v>1</v>
      </c>
      <c r="O16" s="140">
        <f>1</f>
        <v>1</v>
      </c>
      <c r="P16" s="140">
        <f>1</f>
        <v>1</v>
      </c>
    </row>
    <row r="17" spans="1:16" ht="18.75" x14ac:dyDescent="0.3">
      <c r="A17" s="103">
        <f>D17^2-4*C17*E17</f>
        <v>2.5639999999999992E-5</v>
      </c>
      <c r="B17" s="102"/>
      <c r="C17" s="103">
        <f>H5*K5*I5*L5*J5</f>
        <v>7.9999999999999996E-7</v>
      </c>
      <c r="D17" s="102">
        <f>-(H5*K5*I5+H5*(K5+L5)*J5+I5*L5*J5)</f>
        <v>-7.7999999999999996E-3</v>
      </c>
      <c r="E17" s="102">
        <f>H5+I5+J5</f>
        <v>11</v>
      </c>
      <c r="F17" s="103">
        <f>-D17/C17/2-SQRT(A17)/2/C17</f>
        <v>1710.2527747069594</v>
      </c>
      <c r="G17" s="104">
        <f>SQRT(F17)</f>
        <v>41.35520251077196</v>
      </c>
      <c r="H17" s="105">
        <f>-D17/2/C17+SQRT(A17)/2/C17</f>
        <v>8039.7472252930402</v>
      </c>
      <c r="I17" s="104">
        <f>SQRT(H17)</f>
        <v>89.664637540632711</v>
      </c>
      <c r="L17" s="27">
        <f>-(P11*Q13-Q11*P13)</f>
        <v>32897472.252930406</v>
      </c>
      <c r="M17" s="27">
        <f>-(T11*U13-U11*T13)</f>
        <v>-30397472.252930403</v>
      </c>
      <c r="N17">
        <v>2</v>
      </c>
      <c r="O17" s="140">
        <f>L17/L16</f>
        <v>0.65794944505860808</v>
      </c>
      <c r="P17" s="140">
        <f>M17/M16</f>
        <v>-0.60794944505860804</v>
      </c>
    </row>
    <row r="18" spans="1:16" ht="18.75" x14ac:dyDescent="0.3">
      <c r="L18" s="27">
        <f>P11*Q12-Q11*P12</f>
        <v>-46317977.80234433</v>
      </c>
      <c r="M18" s="27">
        <f>T11*U12-T12*U11</f>
        <v>4317977.8023442924</v>
      </c>
      <c r="N18">
        <v>3</v>
      </c>
      <c r="O18" s="140">
        <f>L18/L16</f>
        <v>-0.92635955604688658</v>
      </c>
      <c r="P18" s="140">
        <f>M18/M16</f>
        <v>8.6359556046885846E-2</v>
      </c>
    </row>
  </sheetData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1:Y18"/>
  <sheetViews>
    <sheetView zoomScale="70" zoomScaleNormal="70" workbookViewId="0">
      <selection activeCell="Z12" sqref="Z12"/>
    </sheetView>
  </sheetViews>
  <sheetFormatPr defaultRowHeight="12.75" x14ac:dyDescent="0.2"/>
  <cols>
    <col min="5" max="5" width="11.28515625" bestFit="1" customWidth="1"/>
    <col min="7" max="7" width="11.28515625" bestFit="1" customWidth="1"/>
    <col min="8" max="8" width="10.7109375" bestFit="1" customWidth="1"/>
    <col min="9" max="9" width="9.28515625" bestFit="1" customWidth="1"/>
    <col min="10" max="10" width="11.7109375" bestFit="1" customWidth="1"/>
    <col min="11" max="11" width="9.42578125" bestFit="1" customWidth="1"/>
    <col min="12" max="12" width="11.7109375" bestFit="1" customWidth="1"/>
    <col min="13" max="13" width="11.42578125" bestFit="1" customWidth="1"/>
    <col min="14" max="14" width="11.140625" customWidth="1"/>
    <col min="15" max="15" width="10.85546875" customWidth="1"/>
    <col min="16" max="16" width="11.140625" customWidth="1"/>
    <col min="18" max="19" width="9.5703125" bestFit="1" customWidth="1"/>
    <col min="21" max="22" width="9.5703125" bestFit="1" customWidth="1"/>
    <col min="25" max="25" width="10.5703125" bestFit="1" customWidth="1"/>
  </cols>
  <sheetData>
    <row r="1" spans="5:25" ht="23.25" x14ac:dyDescent="0.35">
      <c r="H1" s="106" t="s">
        <v>293</v>
      </c>
    </row>
    <row r="2" spans="5:25" x14ac:dyDescent="0.2">
      <c r="X2" s="7" t="s">
        <v>49</v>
      </c>
      <c r="Y2" s="7" t="s">
        <v>391</v>
      </c>
    </row>
    <row r="3" spans="5:25" ht="15" x14ac:dyDescent="0.2">
      <c r="J3" s="4" t="s">
        <v>46</v>
      </c>
      <c r="K3" s="4" t="s">
        <v>46</v>
      </c>
      <c r="L3" s="4" t="s">
        <v>294</v>
      </c>
      <c r="M3" s="4" t="s">
        <v>294</v>
      </c>
      <c r="X3" s="179" t="s">
        <v>34</v>
      </c>
      <c r="Y3" s="179" t="s">
        <v>41</v>
      </c>
    </row>
    <row r="4" spans="5:25" ht="21" thickBot="1" x14ac:dyDescent="0.4">
      <c r="J4" s="80" t="s">
        <v>295</v>
      </c>
      <c r="K4" s="80" t="s">
        <v>296</v>
      </c>
      <c r="L4" s="80" t="s">
        <v>297</v>
      </c>
      <c r="M4" s="80" t="s">
        <v>298</v>
      </c>
      <c r="X4" s="154">
        <v>10000</v>
      </c>
      <c r="Y4" s="181">
        <f>1/X4</f>
        <v>1E-4</v>
      </c>
    </row>
    <row r="5" spans="5:25" ht="19.5" thickBot="1" x14ac:dyDescent="0.35">
      <c r="J5" s="147">
        <v>5</v>
      </c>
      <c r="K5" s="147">
        <v>3</v>
      </c>
      <c r="L5" s="148">
        <v>2E-3</v>
      </c>
      <c r="M5" s="148">
        <v>4.0000000000000001E-3</v>
      </c>
    </row>
    <row r="7" spans="5:25" ht="15.75" x14ac:dyDescent="0.3">
      <c r="K7" s="143" t="s">
        <v>218</v>
      </c>
      <c r="N7" s="143" t="s">
        <v>217</v>
      </c>
      <c r="R7" s="135" t="s">
        <v>335</v>
      </c>
      <c r="U7" s="135" t="s">
        <v>336</v>
      </c>
    </row>
    <row r="8" spans="5:25" x14ac:dyDescent="0.2">
      <c r="K8" s="149">
        <f>J5</f>
        <v>5</v>
      </c>
      <c r="L8" s="149">
        <v>0</v>
      </c>
      <c r="N8" s="145">
        <f>1/L5</f>
        <v>500</v>
      </c>
      <c r="O8" s="145">
        <f>-1/M5</f>
        <v>-250</v>
      </c>
      <c r="R8" s="145">
        <f>N8-J13*K8</f>
        <v>279.90824529505608</v>
      </c>
      <c r="S8" s="145">
        <f>O8</f>
        <v>-250</v>
      </c>
      <c r="U8" s="145">
        <f>N8-L13*K8</f>
        <v>-446.57491196172282</v>
      </c>
      <c r="V8" s="145">
        <f>S8</f>
        <v>-250</v>
      </c>
    </row>
    <row r="9" spans="5:25" x14ac:dyDescent="0.2">
      <c r="K9" s="149">
        <v>0</v>
      </c>
      <c r="L9" s="149">
        <f>K5</f>
        <v>3</v>
      </c>
      <c r="N9" s="145">
        <f>-1/M5</f>
        <v>-250</v>
      </c>
      <c r="O9" s="145">
        <f>1/M5</f>
        <v>250</v>
      </c>
      <c r="R9" s="145">
        <f>N9</f>
        <v>-250</v>
      </c>
      <c r="S9" s="145">
        <f>O9-J13*L9</f>
        <v>117.94494717703367</v>
      </c>
      <c r="U9" s="145">
        <f>R9</f>
        <v>-250</v>
      </c>
      <c r="V9" s="145">
        <f>O9-L13*L9</f>
        <v>-317.94494717703378</v>
      </c>
    </row>
    <row r="11" spans="5:25" x14ac:dyDescent="0.2">
      <c r="K11" s="4" t="s">
        <v>48</v>
      </c>
      <c r="L11" s="4"/>
      <c r="M11" s="4" t="s">
        <v>48</v>
      </c>
    </row>
    <row r="12" spans="5:25" ht="21.75" x14ac:dyDescent="0.35">
      <c r="E12" s="80" t="s">
        <v>299</v>
      </c>
      <c r="F12" s="80"/>
      <c r="G12" s="80" t="s">
        <v>39</v>
      </c>
      <c r="H12" s="80" t="s">
        <v>40</v>
      </c>
      <c r="I12" s="80" t="s">
        <v>41</v>
      </c>
      <c r="J12" s="80" t="s">
        <v>289</v>
      </c>
      <c r="K12" s="100" t="s">
        <v>290</v>
      </c>
      <c r="L12" s="80" t="s">
        <v>291</v>
      </c>
      <c r="M12" s="101" t="s">
        <v>292</v>
      </c>
    </row>
    <row r="13" spans="5:25" ht="21" x14ac:dyDescent="0.35">
      <c r="E13" s="103">
        <f>H13^2-4*G13*I13</f>
        <v>3.0400000000000013E-4</v>
      </c>
      <c r="F13" s="102"/>
      <c r="G13" s="103">
        <f>L5*J5*M5*K5</f>
        <v>1.2000000000000002E-4</v>
      </c>
      <c r="H13" s="102">
        <f>-(L5*J5+(L5+M5)*K5)</f>
        <v>-2.8000000000000004E-2</v>
      </c>
      <c r="I13" s="102">
        <v>1</v>
      </c>
      <c r="J13" s="103">
        <f>-H13/2/G13-SQRT(E13)/2/G13</f>
        <v>44.018350940988782</v>
      </c>
      <c r="K13" s="104">
        <f>SQRT(J13)</f>
        <v>6.6346326907364492</v>
      </c>
      <c r="L13" s="105">
        <f>-H13/2/G13+SQRT(E13)/2/G13</f>
        <v>189.31498239234458</v>
      </c>
      <c r="M13" s="104">
        <f>SQRT(L13)</f>
        <v>13.759178114711089</v>
      </c>
      <c r="R13" s="141" t="s">
        <v>333</v>
      </c>
      <c r="S13" s="142" t="s">
        <v>334</v>
      </c>
    </row>
    <row r="14" spans="5:25" ht="18.75" x14ac:dyDescent="0.3">
      <c r="O14" s="27">
        <f>S9</f>
        <v>117.94494717703367</v>
      </c>
      <c r="P14" s="27">
        <f>V9</f>
        <v>-317.94494717703378</v>
      </c>
      <c r="Q14">
        <v>1</v>
      </c>
      <c r="R14" s="150">
        <v>1</v>
      </c>
      <c r="S14" s="150">
        <f>1</f>
        <v>1</v>
      </c>
    </row>
    <row r="15" spans="5:25" ht="18.75" x14ac:dyDescent="0.3">
      <c r="O15" s="27">
        <f>-S8</f>
        <v>250</v>
      </c>
      <c r="P15" s="27">
        <f>-U9</f>
        <v>250</v>
      </c>
      <c r="Q15">
        <v>2</v>
      </c>
      <c r="R15" s="150">
        <f>O15/O14</f>
        <v>2.1196329811802248</v>
      </c>
      <c r="S15" s="150">
        <f>P15/P14</f>
        <v>-0.78629964784689088</v>
      </c>
    </row>
    <row r="17" spans="17:17" ht="13.5" thickBot="1" x14ac:dyDescent="0.25"/>
    <row r="18" spans="17:17" ht="13.5" thickBot="1" x14ac:dyDescent="0.25">
      <c r="Q18" s="146"/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3:Z31"/>
  <sheetViews>
    <sheetView topLeftCell="C2" zoomScale="70" zoomScaleNormal="70" workbookViewId="0">
      <selection activeCell="S3" sqref="S3"/>
    </sheetView>
  </sheetViews>
  <sheetFormatPr defaultRowHeight="12.75" x14ac:dyDescent="0.2"/>
  <cols>
    <col min="4" max="4" width="11.28515625" bestFit="1" customWidth="1"/>
    <col min="6" max="6" width="11.28515625" bestFit="1" customWidth="1"/>
    <col min="7" max="7" width="13.7109375" bestFit="1" customWidth="1"/>
    <col min="8" max="8" width="11.85546875" customWidth="1"/>
    <col min="9" max="9" width="14.42578125" customWidth="1"/>
    <col min="10" max="10" width="10.85546875" customWidth="1"/>
    <col min="11" max="11" width="13.42578125" customWidth="1"/>
    <col min="14" max="14" width="10.140625" bestFit="1" customWidth="1"/>
    <col min="15" max="15" width="12.28515625" customWidth="1"/>
    <col min="16" max="16" width="11.140625" customWidth="1"/>
    <col min="18" max="19" width="10.140625" bestFit="1" customWidth="1"/>
    <col min="25" max="25" width="11.140625" bestFit="1" customWidth="1"/>
    <col min="26" max="26" width="10.5703125" bestFit="1" customWidth="1"/>
  </cols>
  <sheetData>
    <row r="3" spans="9:26" ht="20.25" x14ac:dyDescent="0.3">
      <c r="I3" s="22" t="s">
        <v>348</v>
      </c>
    </row>
    <row r="6" spans="9:26" ht="15" x14ac:dyDescent="0.2">
      <c r="Y6" s="178" t="s">
        <v>49</v>
      </c>
      <c r="Z6" s="178" t="s">
        <v>390</v>
      </c>
    </row>
    <row r="7" spans="9:26" ht="15" x14ac:dyDescent="0.2">
      <c r="Y7" s="179" t="s">
        <v>34</v>
      </c>
      <c r="Z7" s="179" t="s">
        <v>41</v>
      </c>
    </row>
    <row r="8" spans="9:26" ht="15" x14ac:dyDescent="0.2">
      <c r="Y8" s="180">
        <v>10000</v>
      </c>
      <c r="Z8" s="181">
        <f>1/Y8</f>
        <v>1E-4</v>
      </c>
    </row>
    <row r="12" spans="9:26" ht="22.5" x14ac:dyDescent="0.35">
      <c r="O12" s="163" t="s">
        <v>349</v>
      </c>
      <c r="R12" s="163" t="s">
        <v>350</v>
      </c>
    </row>
    <row r="13" spans="9:26" x14ac:dyDescent="0.2">
      <c r="O13" s="145">
        <f>K23-G28*H23</f>
        <v>-10000</v>
      </c>
      <c r="P13" s="145">
        <f>K23</f>
        <v>-10000</v>
      </c>
      <c r="R13" s="145">
        <f>J23-K28*G23</f>
        <v>-20000.000000000015</v>
      </c>
      <c r="S13" s="145">
        <f>K23</f>
        <v>-10000</v>
      </c>
      <c r="W13" s="2" t="s">
        <v>347</v>
      </c>
    </row>
    <row r="14" spans="9:26" x14ac:dyDescent="0.2">
      <c r="O14" s="145">
        <f>J24</f>
        <v>-10000</v>
      </c>
      <c r="P14" s="145">
        <f>K24-I28*H24</f>
        <v>10000.000000000002</v>
      </c>
      <c r="R14" s="145">
        <f>J24</f>
        <v>-10000</v>
      </c>
      <c r="S14" s="145">
        <f>K24-K28*H24</f>
        <v>-5000.0000000000073</v>
      </c>
    </row>
    <row r="18" spans="4:17" x14ac:dyDescent="0.2">
      <c r="F18" s="4" t="s">
        <v>46</v>
      </c>
      <c r="G18" s="4" t="s">
        <v>46</v>
      </c>
      <c r="H18" s="4" t="s">
        <v>294</v>
      </c>
      <c r="I18" s="4" t="s">
        <v>294</v>
      </c>
      <c r="J18" s="4" t="s">
        <v>294</v>
      </c>
    </row>
    <row r="19" spans="4:17" ht="21" thickBot="1" x14ac:dyDescent="0.4">
      <c r="F19" s="80" t="s">
        <v>295</v>
      </c>
      <c r="G19" s="80" t="s">
        <v>296</v>
      </c>
      <c r="H19" s="80" t="s">
        <v>297</v>
      </c>
      <c r="I19" s="80" t="s">
        <v>298</v>
      </c>
      <c r="J19" s="80" t="s">
        <v>346</v>
      </c>
    </row>
    <row r="20" spans="4:17" ht="19.5" thickBot="1" x14ac:dyDescent="0.35">
      <c r="F20" s="147">
        <v>100</v>
      </c>
      <c r="G20" s="147">
        <v>50</v>
      </c>
      <c r="H20" s="148">
        <v>1E-4</v>
      </c>
      <c r="I20" s="158">
        <v>1E-4</v>
      </c>
      <c r="J20" s="159">
        <v>2.0000000000000001E-4</v>
      </c>
    </row>
    <row r="22" spans="4:17" x14ac:dyDescent="0.2">
      <c r="G22" s="143" t="s">
        <v>218</v>
      </c>
      <c r="J22" s="143" t="s">
        <v>217</v>
      </c>
    </row>
    <row r="23" spans="4:17" x14ac:dyDescent="0.2">
      <c r="G23" s="149">
        <f>F20</f>
        <v>100</v>
      </c>
      <c r="H23" s="149">
        <v>0</v>
      </c>
      <c r="J23" s="145">
        <f>1/H20+1/I20</f>
        <v>20000</v>
      </c>
      <c r="K23" s="145">
        <f>-1/I20</f>
        <v>-10000</v>
      </c>
    </row>
    <row r="24" spans="4:17" x14ac:dyDescent="0.2">
      <c r="G24" s="149">
        <v>0</v>
      </c>
      <c r="H24" s="149">
        <f>G20</f>
        <v>50</v>
      </c>
      <c r="J24" s="145">
        <f>-1/I20</f>
        <v>-10000</v>
      </c>
      <c r="K24" s="145">
        <f>1/I20+1/J20</f>
        <v>15000</v>
      </c>
    </row>
    <row r="26" spans="4:17" x14ac:dyDescent="0.2">
      <c r="J26" s="4" t="s">
        <v>48</v>
      </c>
      <c r="K26" s="4"/>
      <c r="L26" s="4" t="s">
        <v>48</v>
      </c>
    </row>
    <row r="27" spans="4:17" ht="21.75" x14ac:dyDescent="0.35">
      <c r="D27" s="80" t="s">
        <v>299</v>
      </c>
      <c r="E27" s="80"/>
      <c r="F27" s="80" t="s">
        <v>39</v>
      </c>
      <c r="G27" s="80" t="s">
        <v>40</v>
      </c>
      <c r="H27" s="80" t="s">
        <v>41</v>
      </c>
      <c r="I27" s="80" t="s">
        <v>289</v>
      </c>
      <c r="J27" s="160" t="s">
        <v>290</v>
      </c>
      <c r="K27" s="80" t="s">
        <v>291</v>
      </c>
      <c r="L27" s="162" t="s">
        <v>292</v>
      </c>
    </row>
    <row r="28" spans="4:17" ht="18.75" x14ac:dyDescent="0.3">
      <c r="D28" s="103">
        <f>G28^2-4*F28*H28</f>
        <v>9.0000000000000109E-12</v>
      </c>
      <c r="E28" s="102"/>
      <c r="F28" s="103">
        <f>H20*F20*I20*G20*J20</f>
        <v>1.0000000000000002E-8</v>
      </c>
      <c r="G28" s="102">
        <f>-(H20*F20*(I20+J20)+(H20+I20)*G20*J20)</f>
        <v>-5.0000000000000013E-6</v>
      </c>
      <c r="H28" s="103">
        <f>H20+I20+J20</f>
        <v>4.0000000000000002E-4</v>
      </c>
      <c r="I28" s="103">
        <f>-G28/2/F28-SQRT(D28)/2/F28</f>
        <v>99.999999999999972</v>
      </c>
      <c r="J28" s="161">
        <f>SQRT(I28)</f>
        <v>9.9999999999999982</v>
      </c>
      <c r="K28" s="105">
        <f>-G28/2/F28+SQRT(D28)/2/F28</f>
        <v>400.00000000000011</v>
      </c>
      <c r="L28" s="161">
        <f>SQRT(K28)</f>
        <v>20.000000000000004</v>
      </c>
    </row>
    <row r="29" spans="4:17" ht="21" x14ac:dyDescent="0.35">
      <c r="P29" s="141" t="s">
        <v>333</v>
      </c>
      <c r="Q29" s="142" t="s">
        <v>334</v>
      </c>
    </row>
    <row r="30" spans="4:17" ht="18.75" x14ac:dyDescent="0.3">
      <c r="M30" s="27">
        <f>P14</f>
        <v>10000.000000000002</v>
      </c>
      <c r="N30" s="27">
        <f>S14</f>
        <v>-5000.0000000000073</v>
      </c>
      <c r="O30">
        <v>1</v>
      </c>
      <c r="P30" s="150">
        <v>1</v>
      </c>
      <c r="Q30" s="150">
        <f>1</f>
        <v>1</v>
      </c>
    </row>
    <row r="31" spans="4:17" ht="18.75" x14ac:dyDescent="0.3">
      <c r="M31" s="27">
        <f>-P13</f>
        <v>10000</v>
      </c>
      <c r="N31" s="27">
        <f>-S13</f>
        <v>10000</v>
      </c>
      <c r="O31">
        <v>2</v>
      </c>
      <c r="P31" s="150">
        <f>M31/M30</f>
        <v>0.99999999999999978</v>
      </c>
      <c r="Q31" s="150">
        <f>N31/N30</f>
        <v>-1.9999999999999971</v>
      </c>
    </row>
  </sheetData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2:AC39"/>
  <sheetViews>
    <sheetView topLeftCell="D1" zoomScale="70" zoomScaleNormal="70" zoomScaleSheetLayoutView="80" zoomScalePageLayoutView="60" workbookViewId="0">
      <selection activeCell="X23" sqref="X23"/>
    </sheetView>
  </sheetViews>
  <sheetFormatPr defaultRowHeight="12.75" x14ac:dyDescent="0.2"/>
  <cols>
    <col min="4" max="4" width="18" customWidth="1"/>
    <col min="5" max="5" width="11.28515625" customWidth="1"/>
    <col min="6" max="6" width="12.28515625" customWidth="1"/>
    <col min="7" max="7" width="12.5703125" bestFit="1" customWidth="1"/>
    <col min="8" max="8" width="15.85546875" customWidth="1"/>
    <col min="9" max="9" width="13.42578125" bestFit="1" customWidth="1"/>
    <col min="10" max="10" width="9.28515625" bestFit="1" customWidth="1"/>
    <col min="12" max="12" width="12.85546875" customWidth="1"/>
    <col min="13" max="13" width="10.7109375" bestFit="1" customWidth="1"/>
    <col min="14" max="14" width="9.28515625" bestFit="1" customWidth="1"/>
    <col min="15" max="19" width="9.28515625" customWidth="1"/>
    <col min="20" max="20" width="14.5703125" customWidth="1"/>
  </cols>
  <sheetData>
    <row r="2" spans="6:29" ht="20.25" x14ac:dyDescent="0.3">
      <c r="J2" s="18" t="s">
        <v>271</v>
      </c>
      <c r="AC2" s="30" t="s">
        <v>80</v>
      </c>
    </row>
    <row r="4" spans="6:29" ht="18" x14ac:dyDescent="0.25">
      <c r="Y4" s="18" t="s">
        <v>200</v>
      </c>
    </row>
    <row r="5" spans="6:29" ht="13.5" thickBot="1" x14ac:dyDescent="0.25"/>
    <row r="6" spans="6:29" ht="13.5" thickBot="1" x14ac:dyDescent="0.25">
      <c r="U6" s="146"/>
    </row>
    <row r="10" spans="6:29" ht="30" x14ac:dyDescent="0.4">
      <c r="F10" s="73" t="s">
        <v>206</v>
      </c>
    </row>
    <row r="16" spans="6:29" ht="21" x14ac:dyDescent="0.25">
      <c r="F16" s="34" t="s">
        <v>35</v>
      </c>
      <c r="G16" s="34" t="s">
        <v>262</v>
      </c>
      <c r="H16" s="34" t="s">
        <v>263</v>
      </c>
      <c r="I16" s="34" t="s">
        <v>207</v>
      </c>
      <c r="J16" s="34" t="s">
        <v>264</v>
      </c>
      <c r="L16" s="7" t="s">
        <v>50</v>
      </c>
      <c r="M16" s="7" t="s">
        <v>35</v>
      </c>
      <c r="T16" s="34" t="s">
        <v>207</v>
      </c>
    </row>
    <row r="17" spans="3:25" ht="21.75" thickBot="1" x14ac:dyDescent="0.4">
      <c r="F17" s="70" t="s">
        <v>108</v>
      </c>
      <c r="G17" s="25" t="s">
        <v>5</v>
      </c>
      <c r="H17" s="25" t="s">
        <v>198</v>
      </c>
      <c r="I17" s="25" t="s">
        <v>91</v>
      </c>
      <c r="J17" s="6" t="s">
        <v>196</v>
      </c>
      <c r="L17" s="7" t="s">
        <v>39</v>
      </c>
      <c r="M17" s="7" t="s">
        <v>208</v>
      </c>
      <c r="T17" s="25" t="s">
        <v>199</v>
      </c>
    </row>
    <row r="18" spans="3:25" ht="18.75" thickBot="1" x14ac:dyDescent="0.3">
      <c r="F18" s="151">
        <v>10</v>
      </c>
      <c r="G18" s="152">
        <v>3.1399999999999999E-4</v>
      </c>
      <c r="H18" s="152">
        <v>7.8525000000000003E-9</v>
      </c>
      <c r="I18" s="152">
        <v>200000000000</v>
      </c>
      <c r="J18" s="151">
        <v>7800</v>
      </c>
      <c r="L18">
        <f>(I18/J18)^0.5</f>
        <v>5063.6968354183327</v>
      </c>
      <c r="M18">
        <f>(H18/G18)^0.5</f>
        <v>5.0007961149640453E-3</v>
      </c>
      <c r="T18" s="152">
        <v>80000000000</v>
      </c>
    </row>
    <row r="19" spans="3:25" x14ac:dyDescent="0.2">
      <c r="F19" s="3"/>
      <c r="G19" s="72"/>
      <c r="H19" s="72"/>
      <c r="I19" s="72"/>
      <c r="J19" s="3"/>
    </row>
    <row r="20" spans="3:25" x14ac:dyDescent="0.2">
      <c r="F20" s="3"/>
      <c r="G20" s="72"/>
      <c r="H20" s="72"/>
      <c r="I20" s="72"/>
      <c r="J20" s="3"/>
      <c r="L20" s="2"/>
    </row>
    <row r="21" spans="3:25" x14ac:dyDescent="0.2">
      <c r="F21" s="3"/>
      <c r="G21" s="72"/>
      <c r="H21" s="72"/>
      <c r="I21" s="72"/>
      <c r="J21" s="3"/>
    </row>
    <row r="24" spans="3:25" ht="18" x14ac:dyDescent="0.25">
      <c r="Y24" s="18" t="s">
        <v>201</v>
      </c>
    </row>
    <row r="28" spans="3:25" ht="18" x14ac:dyDescent="0.25">
      <c r="G28" s="18" t="s">
        <v>209</v>
      </c>
      <c r="N28" s="18" t="s">
        <v>202</v>
      </c>
      <c r="T28" s="18" t="s">
        <v>203</v>
      </c>
    </row>
    <row r="29" spans="3:25" ht="18" x14ac:dyDescent="0.25">
      <c r="C29" s="25" t="s">
        <v>197</v>
      </c>
      <c r="D29" s="6" t="s">
        <v>204</v>
      </c>
      <c r="E29" s="19" t="s">
        <v>53</v>
      </c>
      <c r="F29" s="19" t="s">
        <v>205</v>
      </c>
      <c r="H29" s="6" t="s">
        <v>39</v>
      </c>
      <c r="I29" s="19" t="s">
        <v>53</v>
      </c>
      <c r="J29" s="19" t="s">
        <v>205</v>
      </c>
      <c r="L29" s="6" t="s">
        <v>39</v>
      </c>
      <c r="M29" s="19" t="s">
        <v>53</v>
      </c>
      <c r="N29" s="19" t="s">
        <v>205</v>
      </c>
      <c r="O29" s="19"/>
      <c r="P29" s="6" t="s">
        <v>39</v>
      </c>
      <c r="Q29" s="19" t="s">
        <v>53</v>
      </c>
      <c r="R29" s="19" t="s">
        <v>205</v>
      </c>
      <c r="S29" s="19"/>
      <c r="T29" s="6" t="s">
        <v>39</v>
      </c>
      <c r="U29" s="19" t="s">
        <v>53</v>
      </c>
      <c r="V29" s="19" t="s">
        <v>205</v>
      </c>
    </row>
    <row r="30" spans="3:25" ht="18" x14ac:dyDescent="0.25">
      <c r="C30" s="34">
        <v>1</v>
      </c>
      <c r="D30" s="71">
        <f>(C30*3.14/$F$18)^2*$L$18*$M$18</f>
        <v>2.4966987344830431</v>
      </c>
      <c r="E30" s="19">
        <f>6.28/D30</f>
        <v>2.5153214976497007</v>
      </c>
      <c r="F30" s="19">
        <f>1/E30</f>
        <v>0.39756349275207692</v>
      </c>
      <c r="H30" s="71">
        <f>(1.875/$F$18)^2*$L$18*$M$18</f>
        <v>0.89024468420797487</v>
      </c>
      <c r="I30" s="19">
        <f>6.28/H30</f>
        <v>7.0542403806512315</v>
      </c>
      <c r="J30" s="19">
        <f>1/I30</f>
        <v>0.14175870767642912</v>
      </c>
      <c r="L30" s="19">
        <f>(2*C30-1)*3.14/2/$F$18*$L$18</f>
        <v>795.00040316067827</v>
      </c>
      <c r="M30" s="19">
        <f>6.28/L30</f>
        <v>7.8993670632526002E-3</v>
      </c>
      <c r="N30" s="19">
        <f>1/M30</f>
        <v>126.59242088545832</v>
      </c>
      <c r="O30" s="19"/>
      <c r="P30" s="19">
        <f>1/$F$18*C30*3.14*$L$18</f>
        <v>1590.0008063213568</v>
      </c>
      <c r="Q30" s="19">
        <f>6.28/P30</f>
        <v>3.9496835316262992E-3</v>
      </c>
      <c r="R30" s="19">
        <f>1/Q30</f>
        <v>253.18484177091668</v>
      </c>
      <c r="S30" s="19"/>
      <c r="T30" s="19">
        <f t="shared" ref="T30:T39" si="0">($T$18/$J$18)^0.5/$F$18*(2*C30-1)*3.14/2</f>
        <v>502.80240294797369</v>
      </c>
      <c r="U30" s="19">
        <f>6.28/T30</f>
        <v>1.2489995996796795E-2</v>
      </c>
      <c r="V30" s="19">
        <f>1/U30</f>
        <v>80.064076902543576</v>
      </c>
    </row>
    <row r="31" spans="3:25" ht="18" x14ac:dyDescent="0.25">
      <c r="C31" s="34">
        <v>2</v>
      </c>
      <c r="D31" s="71">
        <f t="shared" ref="D31:D39" si="1">(C31*3.14/$F$18)^2*$L$18*$M$18</f>
        <v>9.9867949379321725</v>
      </c>
      <c r="E31" s="19">
        <f t="shared" ref="E31:E39" si="2">6.28/D31</f>
        <v>0.62883037441242517</v>
      </c>
      <c r="F31" s="19">
        <f t="shared" ref="F31:F39" si="3">1/E31</f>
        <v>1.5902539710083077</v>
      </c>
      <c r="H31" s="71">
        <f>(4.694/$F$18)^2*$L$18*$M$18</f>
        <v>5.5794708829222301</v>
      </c>
      <c r="I31" s="19">
        <f t="shared" ref="I31:I39" si="4">6.28/H31</f>
        <v>1.1255547581083298</v>
      </c>
      <c r="J31" s="19">
        <f t="shared" ref="J31:J39" si="5">1/I31</f>
        <v>0.88845077753538693</v>
      </c>
      <c r="L31" s="19">
        <f t="shared" ref="L31:L39" si="6">(2*C31-1)*3.14/2/$F$18*$L$18</f>
        <v>2385.0012094820345</v>
      </c>
      <c r="M31" s="19">
        <f t="shared" ref="M31:M39" si="7">6.28/L31</f>
        <v>2.6331223544175338E-3</v>
      </c>
      <c r="N31" s="19">
        <f t="shared" ref="N31:N39" si="8">1/M31</f>
        <v>379.77726265637489</v>
      </c>
      <c r="O31" s="19"/>
      <c r="P31" s="19">
        <f t="shared" ref="P31:P39" si="9">1/$F$18*C31*3.14*$L$18</f>
        <v>3180.0016126427136</v>
      </c>
      <c r="Q31" s="19">
        <f t="shared" ref="Q31:Q39" si="10">6.28/P31</f>
        <v>1.9748417658131496E-3</v>
      </c>
      <c r="R31" s="19">
        <f t="shared" ref="R31:R39" si="11">1/Q31</f>
        <v>506.36968354183335</v>
      </c>
      <c r="S31" s="19"/>
      <c r="T31" s="19">
        <f t="shared" si="0"/>
        <v>1508.4072088439211</v>
      </c>
      <c r="U31" s="19">
        <f t="shared" ref="U31:U39" si="12">6.28/T31</f>
        <v>4.1633319989322643E-3</v>
      </c>
      <c r="V31" s="19">
        <f t="shared" ref="V31:V39" si="13">1/U31</f>
        <v>240.19223070763076</v>
      </c>
    </row>
    <row r="32" spans="3:25" ht="18" x14ac:dyDescent="0.25">
      <c r="C32" s="34">
        <v>3</v>
      </c>
      <c r="D32" s="71">
        <f t="shared" si="1"/>
        <v>22.470288610347389</v>
      </c>
      <c r="E32" s="19">
        <f t="shared" si="2"/>
        <v>0.27948016640552226</v>
      </c>
      <c r="F32" s="19">
        <f t="shared" si="3"/>
        <v>3.5780714347686926</v>
      </c>
      <c r="H32" s="71">
        <f>(7.855/$F$18)^2*$L$18*$M$18</f>
        <v>15.624251595785491</v>
      </c>
      <c r="I32" s="19">
        <f t="shared" si="4"/>
        <v>0.40193925203393271</v>
      </c>
      <c r="J32" s="19">
        <f t="shared" si="5"/>
        <v>2.487938152195142</v>
      </c>
      <c r="L32" s="19">
        <f t="shared" si="6"/>
        <v>3975.0020158033913</v>
      </c>
      <c r="M32" s="19">
        <f t="shared" si="7"/>
        <v>1.5798734126505202E-3</v>
      </c>
      <c r="N32" s="19">
        <f t="shared" si="8"/>
        <v>632.96210442729148</v>
      </c>
      <c r="O32" s="19"/>
      <c r="P32" s="19">
        <f t="shared" si="9"/>
        <v>4770.0024189640699</v>
      </c>
      <c r="Q32" s="19">
        <f t="shared" si="10"/>
        <v>1.3165611772087667E-3</v>
      </c>
      <c r="R32" s="19">
        <f t="shared" si="11"/>
        <v>759.55452531274989</v>
      </c>
      <c r="S32" s="19"/>
      <c r="T32" s="19">
        <f t="shared" si="0"/>
        <v>2514.0120147398684</v>
      </c>
      <c r="U32" s="19">
        <f t="shared" si="12"/>
        <v>2.4979991993593592E-3</v>
      </c>
      <c r="V32" s="19">
        <f t="shared" si="13"/>
        <v>400.32038451271785</v>
      </c>
    </row>
    <row r="33" spans="3:25" ht="18" x14ac:dyDescent="0.25">
      <c r="C33" s="34">
        <v>4</v>
      </c>
      <c r="D33" s="71">
        <f t="shared" si="1"/>
        <v>39.94717975172869</v>
      </c>
      <c r="E33" s="19">
        <f t="shared" si="2"/>
        <v>0.15720759360310629</v>
      </c>
      <c r="F33" s="19">
        <f t="shared" si="3"/>
        <v>6.3610158840332307</v>
      </c>
      <c r="H33" s="71">
        <f>(11.064/$F$18)^2*$L$18*$M$18</f>
        <v>30.997821936855125</v>
      </c>
      <c r="I33" s="19">
        <f t="shared" si="4"/>
        <v>0.20259487949807661</v>
      </c>
      <c r="J33" s="19">
        <f t="shared" si="5"/>
        <v>4.9359589071425356</v>
      </c>
      <c r="L33" s="19">
        <f t="shared" si="6"/>
        <v>5565.0028221247476</v>
      </c>
      <c r="M33" s="19">
        <f t="shared" si="7"/>
        <v>1.1284810090360859E-3</v>
      </c>
      <c r="N33" s="19">
        <f t="shared" si="8"/>
        <v>886.14694619820807</v>
      </c>
      <c r="O33" s="19"/>
      <c r="P33" s="19">
        <f t="shared" si="9"/>
        <v>6360.0032252854271</v>
      </c>
      <c r="Q33" s="19">
        <f t="shared" si="10"/>
        <v>9.8742088290657481E-4</v>
      </c>
      <c r="R33" s="19">
        <f t="shared" si="11"/>
        <v>1012.7393670836667</v>
      </c>
      <c r="S33" s="19"/>
      <c r="T33" s="19">
        <f t="shared" si="0"/>
        <v>3519.6168206358161</v>
      </c>
      <c r="U33" s="19">
        <f t="shared" si="12"/>
        <v>1.7842851423995418E-3</v>
      </c>
      <c r="V33" s="19">
        <f t="shared" si="13"/>
        <v>560.44853831780517</v>
      </c>
      <c r="Y33" s="18" t="s">
        <v>202</v>
      </c>
    </row>
    <row r="34" spans="3:25" ht="18" x14ac:dyDescent="0.25">
      <c r="C34" s="34">
        <v>5</v>
      </c>
      <c r="D34" s="71">
        <f t="shared" si="1"/>
        <v>62.417468362076086</v>
      </c>
      <c r="E34" s="19">
        <f t="shared" si="2"/>
        <v>0.10061285990598801</v>
      </c>
      <c r="F34" s="19">
        <f t="shared" si="3"/>
        <v>9.9390873188019242</v>
      </c>
      <c r="H34" s="71">
        <f>(14.25/$F$18)^2*$L$18*$M$18</f>
        <v>51.420532959852636</v>
      </c>
      <c r="I34" s="19">
        <f t="shared" si="4"/>
        <v>0.12213020049603932</v>
      </c>
      <c r="J34" s="19">
        <f t="shared" si="5"/>
        <v>8.187982955390547</v>
      </c>
      <c r="L34" s="19">
        <f t="shared" si="6"/>
        <v>7155.0036284461039</v>
      </c>
      <c r="M34" s="19">
        <f t="shared" si="7"/>
        <v>8.7770745147251121E-4</v>
      </c>
      <c r="N34" s="19">
        <f t="shared" si="8"/>
        <v>1139.3317879691247</v>
      </c>
      <c r="O34" s="19"/>
      <c r="P34" s="19">
        <f t="shared" si="9"/>
        <v>7950.0040316067825</v>
      </c>
      <c r="Q34" s="19">
        <f t="shared" si="10"/>
        <v>7.8993670632526009E-4</v>
      </c>
      <c r="R34" s="19">
        <f t="shared" si="11"/>
        <v>1265.924208854583</v>
      </c>
      <c r="S34" s="19"/>
      <c r="T34" s="19">
        <f t="shared" si="0"/>
        <v>4525.2216265317629</v>
      </c>
      <c r="U34" s="19">
        <f t="shared" si="12"/>
        <v>1.3877773329774217E-3</v>
      </c>
      <c r="V34" s="19">
        <f t="shared" si="13"/>
        <v>720.57669212289215</v>
      </c>
    </row>
    <row r="35" spans="3:25" ht="18" x14ac:dyDescent="0.25">
      <c r="C35" s="34">
        <v>6</v>
      </c>
      <c r="D35" s="71">
        <f t="shared" si="1"/>
        <v>89.881154441389555</v>
      </c>
      <c r="E35" s="19">
        <f t="shared" si="2"/>
        <v>6.9870041601380564E-2</v>
      </c>
      <c r="F35" s="19">
        <f t="shared" si="3"/>
        <v>14.31228573907477</v>
      </c>
      <c r="H35" s="71">
        <f>(18.37/$F$18)^2*$L$18*$M$18</f>
        <v>85.452575679801512</v>
      </c>
      <c r="I35" s="19">
        <f t="shared" si="4"/>
        <v>7.3491055711787143E-2</v>
      </c>
      <c r="J35" s="19">
        <f t="shared" si="5"/>
        <v>13.607098038184954</v>
      </c>
      <c r="L35" s="19">
        <f t="shared" si="6"/>
        <v>8745.0044347674593</v>
      </c>
      <c r="M35" s="19">
        <f t="shared" si="7"/>
        <v>7.1812427847750928E-4</v>
      </c>
      <c r="N35" s="19">
        <f t="shared" si="8"/>
        <v>1392.5166297400413</v>
      </c>
      <c r="O35" s="19"/>
      <c r="P35" s="19">
        <f t="shared" si="9"/>
        <v>9540.0048379281398</v>
      </c>
      <c r="Q35" s="19">
        <f t="shared" si="10"/>
        <v>6.5828058860438335E-4</v>
      </c>
      <c r="R35" s="19">
        <f t="shared" si="11"/>
        <v>1519.1090506254998</v>
      </c>
      <c r="S35" s="19"/>
      <c r="T35" s="19">
        <f t="shared" si="0"/>
        <v>5530.8264324277106</v>
      </c>
      <c r="U35" s="19">
        <f t="shared" si="12"/>
        <v>1.1354541815269813E-3</v>
      </c>
      <c r="V35" s="19">
        <f t="shared" si="13"/>
        <v>880.70484592797936</v>
      </c>
    </row>
    <row r="36" spans="3:25" ht="18" x14ac:dyDescent="0.25">
      <c r="C36" s="34">
        <v>7</v>
      </c>
      <c r="D36" s="71">
        <f t="shared" si="1"/>
        <v>122.33823798966911</v>
      </c>
      <c r="E36" s="19">
        <f t="shared" si="2"/>
        <v>5.1333091788769401E-2</v>
      </c>
      <c r="F36" s="19">
        <f t="shared" si="3"/>
        <v>19.480611144851768</v>
      </c>
      <c r="H36" s="71">
        <f>(22.22/$F$18)^2*$L$18*$M$18</f>
        <v>125.02445042986913</v>
      </c>
      <c r="I36" s="19">
        <f t="shared" si="4"/>
        <v>5.0230174805068917E-2</v>
      </c>
      <c r="J36" s="19">
        <f t="shared" si="5"/>
        <v>19.908351979278525</v>
      </c>
      <c r="L36" s="19">
        <f t="shared" si="6"/>
        <v>10335.005241088817</v>
      </c>
      <c r="M36" s="19">
        <f t="shared" si="7"/>
        <v>6.076436202502001E-4</v>
      </c>
      <c r="N36" s="19">
        <f t="shared" si="8"/>
        <v>1645.7014715109578</v>
      </c>
      <c r="O36" s="19"/>
      <c r="P36" s="19">
        <f t="shared" si="9"/>
        <v>11130.005644249497</v>
      </c>
      <c r="Q36" s="19">
        <f t="shared" si="10"/>
        <v>5.6424050451804283E-4</v>
      </c>
      <c r="R36" s="19">
        <f t="shared" si="11"/>
        <v>1772.2938923964166</v>
      </c>
      <c r="S36" s="19"/>
      <c r="T36" s="19">
        <f t="shared" si="0"/>
        <v>6536.4312383236584</v>
      </c>
      <c r="U36" s="19">
        <f t="shared" si="12"/>
        <v>9.6076892283052258E-4</v>
      </c>
      <c r="V36" s="19">
        <f t="shared" si="13"/>
        <v>1040.8329997330666</v>
      </c>
    </row>
    <row r="37" spans="3:25" ht="18" x14ac:dyDescent="0.25">
      <c r="C37" s="34">
        <v>8</v>
      </c>
      <c r="D37" s="71">
        <f t="shared" si="1"/>
        <v>159.78871900691476</v>
      </c>
      <c r="E37" s="19">
        <f t="shared" si="2"/>
        <v>3.9301898400776573E-2</v>
      </c>
      <c r="F37" s="19">
        <f t="shared" si="3"/>
        <v>25.444063536132923</v>
      </c>
      <c r="H37" s="71">
        <f>(26.76/$F$18)^2*$L$18*$M$18</f>
        <v>181.33392548240749</v>
      </c>
      <c r="I37" s="19">
        <f t="shared" si="4"/>
        <v>3.4632239848628149E-2</v>
      </c>
      <c r="J37" s="19">
        <f t="shared" si="5"/>
        <v>28.874828898472529</v>
      </c>
      <c r="L37" s="19">
        <f t="shared" si="6"/>
        <v>11925.006047410174</v>
      </c>
      <c r="M37" s="19">
        <f t="shared" si="7"/>
        <v>5.2662447088350673E-4</v>
      </c>
      <c r="N37" s="19">
        <f t="shared" si="8"/>
        <v>1898.8863132818747</v>
      </c>
      <c r="O37" s="19"/>
      <c r="P37" s="19">
        <f t="shared" si="9"/>
        <v>12720.006450570854</v>
      </c>
      <c r="Q37" s="19">
        <f t="shared" si="10"/>
        <v>4.9371044145328741E-4</v>
      </c>
      <c r="R37" s="19">
        <f t="shared" si="11"/>
        <v>2025.4787341673334</v>
      </c>
      <c r="S37" s="19"/>
      <c r="T37" s="19">
        <f t="shared" si="0"/>
        <v>7542.0360442196052</v>
      </c>
      <c r="U37" s="19">
        <f t="shared" si="12"/>
        <v>8.3266639978645299E-4</v>
      </c>
      <c r="V37" s="19">
        <f t="shared" si="13"/>
        <v>1200.9611535381537</v>
      </c>
    </row>
    <row r="38" spans="3:25" ht="18" x14ac:dyDescent="0.25">
      <c r="C38" s="34">
        <v>9</v>
      </c>
      <c r="D38" s="71">
        <f t="shared" si="1"/>
        <v>202.23259749312649</v>
      </c>
      <c r="E38" s="19">
        <f t="shared" si="2"/>
        <v>3.105335182283581E-2</v>
      </c>
      <c r="F38" s="19">
        <f t="shared" si="3"/>
        <v>32.202642912918229</v>
      </c>
      <c r="H38" s="71">
        <f>(31.89/$F$18)^2*$L$18*$M$18</f>
        <v>257.52291726586913</v>
      </c>
      <c r="I38" s="19">
        <f t="shared" si="4"/>
        <v>2.4386179166790301E-2</v>
      </c>
      <c r="J38" s="19">
        <f t="shared" si="5"/>
        <v>41.006833959533303</v>
      </c>
      <c r="L38" s="19">
        <f t="shared" si="6"/>
        <v>13515.006853731531</v>
      </c>
      <c r="M38" s="19">
        <f t="shared" si="7"/>
        <v>4.6466865077956468E-4</v>
      </c>
      <c r="N38" s="19">
        <f t="shared" si="8"/>
        <v>2152.0711550527917</v>
      </c>
      <c r="O38" s="19"/>
      <c r="P38" s="19">
        <f t="shared" si="9"/>
        <v>14310.007256892208</v>
      </c>
      <c r="Q38" s="19">
        <f t="shared" si="10"/>
        <v>4.388537257362556E-4</v>
      </c>
      <c r="R38" s="19">
        <f t="shared" si="11"/>
        <v>2278.6635759382493</v>
      </c>
      <c r="S38" s="19"/>
      <c r="T38" s="19">
        <f t="shared" si="0"/>
        <v>8547.6408501155529</v>
      </c>
      <c r="U38" s="19">
        <f t="shared" si="12"/>
        <v>7.3470564687039969E-4</v>
      </c>
      <c r="V38" s="19">
        <f t="shared" si="13"/>
        <v>1361.0893073432408</v>
      </c>
    </row>
    <row r="39" spans="3:25" ht="18" x14ac:dyDescent="0.25">
      <c r="C39" s="34">
        <v>10</v>
      </c>
      <c r="D39" s="71">
        <f t="shared" si="1"/>
        <v>249.66987344830434</v>
      </c>
      <c r="E39" s="19">
        <f t="shared" si="2"/>
        <v>2.5153214976497001E-2</v>
      </c>
      <c r="F39" s="19">
        <f t="shared" si="3"/>
        <v>39.756349275207697</v>
      </c>
      <c r="H39" s="71">
        <f>(38.68/$F$18)^2*$L$18*$M$18</f>
        <v>378.86089057227707</v>
      </c>
      <c r="I39" s="19">
        <f t="shared" si="4"/>
        <v>1.6576004956631793E-2</v>
      </c>
      <c r="J39" s="19">
        <f t="shared" si="5"/>
        <v>60.328167288579152</v>
      </c>
      <c r="L39" s="19">
        <f t="shared" si="6"/>
        <v>15105.007660052886</v>
      </c>
      <c r="M39" s="19">
        <f t="shared" si="7"/>
        <v>4.1575616122382106E-4</v>
      </c>
      <c r="N39" s="19">
        <f t="shared" si="8"/>
        <v>2405.2559968237078</v>
      </c>
      <c r="O39" s="19"/>
      <c r="P39" s="19">
        <f t="shared" si="9"/>
        <v>15900.008063213565</v>
      </c>
      <c r="Q39" s="19">
        <f t="shared" si="10"/>
        <v>3.9496835316263004E-4</v>
      </c>
      <c r="R39" s="19">
        <f t="shared" si="11"/>
        <v>2531.8484177091659</v>
      </c>
      <c r="S39" s="19"/>
      <c r="T39" s="19">
        <f t="shared" si="0"/>
        <v>9553.2456560114988</v>
      </c>
      <c r="U39" s="19">
        <f t="shared" si="12"/>
        <v>6.5736821035772611E-4</v>
      </c>
      <c r="V39" s="19">
        <f t="shared" si="13"/>
        <v>1521.2174611483279</v>
      </c>
    </row>
  </sheetData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15361" r:id="rId4">
          <objectPr defaultSize="0" autoPict="0" r:id="rId5">
            <anchor moveWithCells="1">
              <from>
                <xdr:col>28</xdr:col>
                <xdr:colOff>0</xdr:colOff>
                <xdr:row>12</xdr:row>
                <xdr:rowOff>0</xdr:rowOff>
              </from>
              <to>
                <xdr:col>36</xdr:col>
                <xdr:colOff>66675</xdr:colOff>
                <xdr:row>21</xdr:row>
                <xdr:rowOff>152400</xdr:rowOff>
              </to>
            </anchor>
          </objectPr>
        </oleObject>
      </mc:Choice>
      <mc:Fallback>
        <oleObject progId="Equation.3" shapeId="15361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3"/>
  <dimension ref="B1:Z18"/>
  <sheetViews>
    <sheetView topLeftCell="E1" zoomScale="110" zoomScaleNormal="110" workbookViewId="0">
      <selection activeCell="E5" sqref="E5"/>
    </sheetView>
  </sheetViews>
  <sheetFormatPr defaultRowHeight="12.75" x14ac:dyDescent="0.2"/>
  <cols>
    <col min="4" max="4" width="13.7109375" bestFit="1" customWidth="1"/>
  </cols>
  <sheetData>
    <row r="1" spans="2:26" ht="18" x14ac:dyDescent="0.25">
      <c r="J1" s="18" t="s">
        <v>79</v>
      </c>
    </row>
    <row r="2" spans="2:26" ht="18" x14ac:dyDescent="0.25">
      <c r="R2" s="19" t="s">
        <v>131</v>
      </c>
    </row>
    <row r="3" spans="2:26" ht="18.75" x14ac:dyDescent="0.3">
      <c r="W3" s="59" t="s">
        <v>146</v>
      </c>
    </row>
    <row r="4" spans="2:26" ht="18" x14ac:dyDescent="0.25">
      <c r="R4" s="19" t="s">
        <v>132</v>
      </c>
    </row>
    <row r="5" spans="2:26" ht="18" x14ac:dyDescent="0.25">
      <c r="B5" s="18"/>
      <c r="R5" s="19" t="s">
        <v>133</v>
      </c>
      <c r="Y5" s="58" t="s">
        <v>35</v>
      </c>
      <c r="Z5" s="58" t="s">
        <v>112</v>
      </c>
    </row>
    <row r="6" spans="2:26" ht="18" x14ac:dyDescent="0.25">
      <c r="R6" s="19" t="s">
        <v>134</v>
      </c>
      <c r="Y6" s="58" t="s">
        <v>36</v>
      </c>
      <c r="Z6" s="58" t="s">
        <v>148</v>
      </c>
    </row>
    <row r="7" spans="2:26" ht="21" x14ac:dyDescent="0.35">
      <c r="R7" s="19" t="s">
        <v>135</v>
      </c>
      <c r="Y7" s="58" t="s">
        <v>41</v>
      </c>
      <c r="Z7" s="58" t="s">
        <v>90</v>
      </c>
    </row>
    <row r="8" spans="2:26" ht="19.5" x14ac:dyDescent="0.35">
      <c r="R8" s="19" t="s">
        <v>136</v>
      </c>
      <c r="Y8" s="58" t="s">
        <v>151</v>
      </c>
      <c r="Z8" s="58" t="s">
        <v>152</v>
      </c>
    </row>
    <row r="9" spans="2:26" ht="18" x14ac:dyDescent="0.25">
      <c r="B9" s="2" t="s">
        <v>87</v>
      </c>
      <c r="D9" s="2" t="s">
        <v>85</v>
      </c>
      <c r="R9" s="19" t="s">
        <v>137</v>
      </c>
      <c r="Y9" s="58" t="s">
        <v>4</v>
      </c>
      <c r="Z9" s="58" t="s">
        <v>149</v>
      </c>
    </row>
    <row r="10" spans="2:26" ht="15.75" x14ac:dyDescent="0.25">
      <c r="Y10" s="58" t="s">
        <v>147</v>
      </c>
      <c r="Z10" s="58" t="s">
        <v>150</v>
      </c>
    </row>
    <row r="11" spans="2:26" x14ac:dyDescent="0.2">
      <c r="C11" t="s">
        <v>82</v>
      </c>
    </row>
    <row r="12" spans="2:26" ht="13.5" thickBot="1" x14ac:dyDescent="0.25"/>
    <row r="13" spans="2:26" x14ac:dyDescent="0.2">
      <c r="C13" s="8" t="s">
        <v>83</v>
      </c>
      <c r="D13" s="9" t="s">
        <v>49</v>
      </c>
    </row>
    <row r="14" spans="2:26" ht="13.5" thickBot="1" x14ac:dyDescent="0.25">
      <c r="C14" s="12" t="s">
        <v>41</v>
      </c>
      <c r="D14" s="13" t="s">
        <v>34</v>
      </c>
    </row>
    <row r="15" spans="2:26" ht="13.5" thickBot="1" x14ac:dyDescent="0.25">
      <c r="C15" s="116">
        <v>2E-3</v>
      </c>
      <c r="D15" s="11">
        <f>1000/C15</f>
        <v>500000</v>
      </c>
      <c r="Q15" t="s">
        <v>385</v>
      </c>
      <c r="T15" t="s">
        <v>386</v>
      </c>
      <c r="V15" t="s">
        <v>387</v>
      </c>
    </row>
    <row r="16" spans="2:26" x14ac:dyDescent="0.2">
      <c r="C16" s="2" t="s">
        <v>116</v>
      </c>
      <c r="Q16" s="4" t="s">
        <v>49</v>
      </c>
      <c r="R16" s="4" t="s">
        <v>49</v>
      </c>
      <c r="S16" s="4"/>
      <c r="T16" s="4" t="s">
        <v>49</v>
      </c>
      <c r="U16" s="4"/>
      <c r="V16" s="4" t="s">
        <v>49</v>
      </c>
    </row>
    <row r="17" spans="17:22" ht="15.75" x14ac:dyDescent="0.3">
      <c r="Q17" s="149" t="s">
        <v>377</v>
      </c>
      <c r="R17" s="149" t="s">
        <v>378</v>
      </c>
      <c r="S17" s="4"/>
      <c r="T17" s="177" t="s">
        <v>388</v>
      </c>
      <c r="U17" s="149"/>
      <c r="V17" s="177" t="s">
        <v>388</v>
      </c>
    </row>
    <row r="18" spans="17:22" x14ac:dyDescent="0.2">
      <c r="Q18" s="125">
        <v>10000</v>
      </c>
      <c r="R18" s="125">
        <v>2857</v>
      </c>
      <c r="S18" s="4"/>
      <c r="T18" s="149">
        <f>Q18+R18</f>
        <v>12857</v>
      </c>
      <c r="U18" s="149"/>
      <c r="V18" s="149">
        <f>1/(1/Q18+1/R18)</f>
        <v>2222.1358015089058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E2:V6"/>
  <sheetViews>
    <sheetView zoomScale="70" zoomScaleNormal="70" workbookViewId="0">
      <selection activeCell="V37" sqref="V37"/>
    </sheetView>
  </sheetViews>
  <sheetFormatPr defaultRowHeight="12.75" x14ac:dyDescent="0.2"/>
  <sheetData>
    <row r="2" spans="5:22" ht="23.25" x14ac:dyDescent="0.35">
      <c r="G2" s="74" t="s">
        <v>212</v>
      </c>
    </row>
    <row r="4" spans="5:22" ht="20.25" x14ac:dyDescent="0.3">
      <c r="E4" s="26" t="s">
        <v>213</v>
      </c>
    </row>
    <row r="6" spans="5:22" ht="18" x14ac:dyDescent="0.25">
      <c r="N6" s="19" t="s">
        <v>215</v>
      </c>
      <c r="V6" s="19" t="s">
        <v>214</v>
      </c>
    </row>
  </sheetData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16385" r:id="rId4">
          <objectPr defaultSize="0" autoPict="0" r:id="rId5">
            <anchor moveWithCells="1">
              <from>
                <xdr:col>1</xdr:col>
                <xdr:colOff>0</xdr:colOff>
                <xdr:row>6</xdr:row>
                <xdr:rowOff>0</xdr:rowOff>
              </from>
              <to>
                <xdr:col>8</xdr:col>
                <xdr:colOff>19050</xdr:colOff>
                <xdr:row>34</xdr:row>
                <xdr:rowOff>133350</xdr:rowOff>
              </to>
            </anchor>
          </objectPr>
        </oleObject>
      </mc:Choice>
      <mc:Fallback>
        <oleObject progId="Equation.3" shapeId="16385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4"/>
  <dimension ref="A1:Y100"/>
  <sheetViews>
    <sheetView zoomScale="50" zoomScaleNormal="50" workbookViewId="0">
      <selection activeCell="O25" sqref="O25"/>
    </sheetView>
  </sheetViews>
  <sheetFormatPr defaultRowHeight="12.75" x14ac:dyDescent="0.2"/>
  <cols>
    <col min="1" max="1" width="20.7109375" bestFit="1" customWidth="1"/>
    <col min="2" max="2" width="20.85546875" bestFit="1" customWidth="1"/>
    <col min="3" max="3" width="20.7109375" bestFit="1" customWidth="1"/>
    <col min="4" max="4" width="21.7109375" customWidth="1"/>
    <col min="5" max="5" width="20.7109375" bestFit="1" customWidth="1"/>
    <col min="6" max="6" width="19.5703125" bestFit="1" customWidth="1"/>
    <col min="7" max="7" width="20.7109375" bestFit="1" customWidth="1"/>
    <col min="8" max="8" width="21.140625" customWidth="1"/>
    <col min="9" max="9" width="20.7109375" bestFit="1" customWidth="1"/>
    <col min="10" max="10" width="21.42578125" customWidth="1"/>
    <col min="11" max="13" width="20.7109375" bestFit="1" customWidth="1"/>
    <col min="15" max="17" width="20.7109375" bestFit="1" customWidth="1"/>
    <col min="24" max="24" width="12.5703125" bestFit="1" customWidth="1"/>
    <col min="25" max="25" width="17.5703125" customWidth="1"/>
  </cols>
  <sheetData>
    <row r="1" spans="1:25" ht="24" thickBot="1" x14ac:dyDescent="0.4">
      <c r="A1" s="43"/>
      <c r="B1" s="43" t="s">
        <v>67</v>
      </c>
      <c r="C1" s="43"/>
      <c r="D1" s="43"/>
      <c r="E1" s="43"/>
      <c r="F1" s="43"/>
      <c r="G1" s="43"/>
      <c r="H1" s="50" t="s">
        <v>272</v>
      </c>
      <c r="I1" s="43"/>
      <c r="J1" s="43"/>
      <c r="K1" s="43"/>
      <c r="L1" s="43"/>
      <c r="M1" s="43"/>
      <c r="N1" s="43"/>
      <c r="O1" s="43"/>
      <c r="P1" s="43"/>
      <c r="Q1" s="43"/>
      <c r="R1" s="43"/>
      <c r="S1" s="33"/>
      <c r="T1" s="33"/>
      <c r="U1" s="33"/>
      <c r="V1" s="33"/>
      <c r="W1" s="33"/>
      <c r="X1" s="33"/>
      <c r="Y1" s="33"/>
    </row>
    <row r="2" spans="1:25" ht="27.75" x14ac:dyDescent="0.35">
      <c r="A2" s="44" t="s">
        <v>48</v>
      </c>
      <c r="B2" s="44" t="s">
        <v>35</v>
      </c>
      <c r="C2" s="44" t="s">
        <v>50</v>
      </c>
      <c r="D2" s="44" t="s">
        <v>35</v>
      </c>
      <c r="E2" s="44" t="s">
        <v>35</v>
      </c>
      <c r="F2" s="44" t="s">
        <v>35</v>
      </c>
      <c r="G2" s="44" t="s">
        <v>86</v>
      </c>
      <c r="H2" s="44" t="s">
        <v>50</v>
      </c>
      <c r="I2" s="44" t="s">
        <v>153</v>
      </c>
      <c r="J2" s="44"/>
      <c r="K2" s="44"/>
      <c r="L2" s="44" t="s">
        <v>118</v>
      </c>
      <c r="M2" s="44" t="s">
        <v>119</v>
      </c>
      <c r="N2" s="44"/>
      <c r="O2" s="44" t="s">
        <v>49</v>
      </c>
      <c r="P2" s="44" t="s">
        <v>46</v>
      </c>
      <c r="Q2" s="44" t="s">
        <v>48</v>
      </c>
      <c r="R2" s="43"/>
      <c r="S2" s="33"/>
      <c r="T2" s="33"/>
      <c r="U2" s="33"/>
      <c r="V2" s="33"/>
      <c r="W2" s="33"/>
      <c r="X2" s="35" t="s">
        <v>83</v>
      </c>
      <c r="Y2" s="36" t="s">
        <v>49</v>
      </c>
    </row>
    <row r="3" spans="1:25" ht="27" thickBot="1" x14ac:dyDescent="0.5">
      <c r="A3" s="51" t="s">
        <v>39</v>
      </c>
      <c r="B3" s="50" t="s">
        <v>22</v>
      </c>
      <c r="C3" s="50" t="s">
        <v>23</v>
      </c>
      <c r="D3" s="50" t="s">
        <v>5</v>
      </c>
      <c r="E3" s="50" t="s">
        <v>24</v>
      </c>
      <c r="F3" s="60" t="s">
        <v>25</v>
      </c>
      <c r="G3" s="51" t="s">
        <v>96</v>
      </c>
      <c r="H3" s="60" t="s">
        <v>31</v>
      </c>
      <c r="I3" s="60" t="s">
        <v>32</v>
      </c>
      <c r="J3" s="50" t="s">
        <v>53</v>
      </c>
      <c r="K3" s="60" t="s">
        <v>52</v>
      </c>
      <c r="L3" s="60" t="s">
        <v>51</v>
      </c>
      <c r="M3" s="50" t="s">
        <v>154</v>
      </c>
      <c r="N3" s="50"/>
      <c r="O3" s="50" t="s">
        <v>34</v>
      </c>
      <c r="P3" s="50" t="s">
        <v>35</v>
      </c>
      <c r="Q3" s="51" t="s">
        <v>39</v>
      </c>
      <c r="R3" s="43"/>
      <c r="S3" s="33"/>
      <c r="T3" s="33"/>
      <c r="U3" s="33"/>
      <c r="V3" s="33"/>
      <c r="W3" s="33"/>
      <c r="X3" s="37" t="s">
        <v>41</v>
      </c>
      <c r="Y3" s="38" t="s">
        <v>34</v>
      </c>
    </row>
    <row r="4" spans="1:25" ht="24" thickBot="1" x14ac:dyDescent="0.4">
      <c r="A4" s="54">
        <f>Q4</f>
        <v>14.743133995185692</v>
      </c>
      <c r="B4" s="117">
        <v>0.44500000000000001</v>
      </c>
      <c r="C4" s="117">
        <v>0</v>
      </c>
      <c r="D4" s="54">
        <f>B4</f>
        <v>0.44500000000000001</v>
      </c>
      <c r="E4" s="54">
        <f>C4/A4</f>
        <v>0</v>
      </c>
      <c r="F4" s="54">
        <f>SQRT(D4^2+E4^2)</f>
        <v>0.44500000000000001</v>
      </c>
      <c r="G4" s="54">
        <f>IF(E4=0,1.57,ATAN(D4/E4))</f>
        <v>1.57</v>
      </c>
      <c r="H4" s="54">
        <f>F4*A4</f>
        <v>6.5606946278576332</v>
      </c>
      <c r="I4" s="54">
        <f>A4*H4</f>
        <v>96.725200000000015</v>
      </c>
      <c r="J4" s="54">
        <f>6.2832/A4</f>
        <v>0.42617804342358634</v>
      </c>
      <c r="K4" s="54">
        <f>1/J4</f>
        <v>2.3464371650091822</v>
      </c>
      <c r="L4" s="54">
        <f>O4*F4</f>
        <v>96.725200000000001</v>
      </c>
      <c r="M4" s="54">
        <f>F4^2*O4/2</f>
        <v>21.521357000000002</v>
      </c>
      <c r="N4" s="54"/>
      <c r="O4" s="117">
        <v>217.36</v>
      </c>
      <c r="P4" s="117">
        <v>1</v>
      </c>
      <c r="Q4" s="54">
        <f>SQRT(O4/P4)</f>
        <v>14.743133995185692</v>
      </c>
      <c r="R4" s="43"/>
      <c r="S4" s="33"/>
      <c r="T4" s="33"/>
      <c r="U4" s="33"/>
      <c r="V4" s="33"/>
      <c r="W4" s="33"/>
      <c r="X4" s="39">
        <v>2.5000000000000001E-2</v>
      </c>
      <c r="Y4" s="41">
        <f>1000/X4</f>
        <v>40000</v>
      </c>
    </row>
    <row r="5" spans="1:25" ht="18" x14ac:dyDescent="0.25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 t="s">
        <v>107</v>
      </c>
      <c r="Y5" s="33"/>
    </row>
    <row r="7" spans="1:25" ht="18" x14ac:dyDescent="0.25">
      <c r="V7" s="18" t="s">
        <v>80</v>
      </c>
    </row>
    <row r="9" spans="1:25" x14ac:dyDescent="0.2">
      <c r="A9" s="1" t="s">
        <v>3</v>
      </c>
      <c r="B9" t="s">
        <v>26</v>
      </c>
      <c r="D9" t="s">
        <v>28</v>
      </c>
      <c r="E9" t="s">
        <v>27</v>
      </c>
    </row>
    <row r="10" spans="1:25" x14ac:dyDescent="0.2">
      <c r="A10">
        <v>0</v>
      </c>
      <c r="B10">
        <f>$D$4*COS($A$4*A10)+$E$4*SIN($A$4*A10)</f>
        <v>0.44500000000000001</v>
      </c>
      <c r="C10" s="76"/>
      <c r="D10">
        <f>(-$D$4*SIN($A$4*A10)+$E$4*COS($A$4*A10))*$A$4</f>
        <v>0</v>
      </c>
      <c r="E10">
        <f>-B10*$A$4*$A$4</f>
        <v>-96.725200000000015</v>
      </c>
    </row>
    <row r="11" spans="1:25" x14ac:dyDescent="0.2">
      <c r="A11">
        <v>0.01</v>
      </c>
      <c r="B11">
        <f t="shared" ref="B11:B74" si="0">$D$4*COS($A$4*A11)+$E$4*SIN($A$4*A11)</f>
        <v>0.4401724937344404</v>
      </c>
      <c r="C11" s="76"/>
      <c r="D11">
        <f t="shared" ref="D11:D74" si="1">(-$D$4*SIN($A$4*A11)+$E$4*COS($A$4*A11))*$A$4</f>
        <v>-0.96375177463262329</v>
      </c>
      <c r="E11">
        <f t="shared" ref="E11:E74" si="2">-B11*$A$4*$A$4</f>
        <v>-95.675893238117979</v>
      </c>
    </row>
    <row r="12" spans="1:25" x14ac:dyDescent="0.2">
      <c r="A12">
        <v>0.02</v>
      </c>
      <c r="B12">
        <f t="shared" si="0"/>
        <v>0.42579471568717292</v>
      </c>
      <c r="C12" s="76"/>
      <c r="D12">
        <f t="shared" si="1"/>
        <v>-1.9065933572181313</v>
      </c>
      <c r="E12">
        <f t="shared" si="2"/>
        <v>-92.55073940176392</v>
      </c>
    </row>
    <row r="13" spans="1:25" x14ac:dyDescent="0.2">
      <c r="A13">
        <v>0.03</v>
      </c>
      <c r="B13">
        <f t="shared" si="0"/>
        <v>0.40217861558227852</v>
      </c>
      <c r="C13" s="76"/>
      <c r="D13">
        <f t="shared" si="1"/>
        <v>-2.8080682369818653</v>
      </c>
      <c r="E13">
        <f t="shared" si="2"/>
        <v>-87.417543882964068</v>
      </c>
    </row>
    <row r="14" spans="1:25" x14ac:dyDescent="0.2">
      <c r="A14">
        <v>0.04</v>
      </c>
      <c r="B14">
        <f t="shared" si="0"/>
        <v>0.36983658385222662</v>
      </c>
      <c r="C14" s="76"/>
      <c r="D14">
        <f t="shared" si="1"/>
        <v>-3.6486174223269523</v>
      </c>
      <c r="E14">
        <f t="shared" si="2"/>
        <v>-80.387679866119981</v>
      </c>
    </row>
    <row r="15" spans="1:25" x14ac:dyDescent="0.2">
      <c r="A15">
        <v>0.05</v>
      </c>
      <c r="B15">
        <f t="shared" si="0"/>
        <v>0.32947033447822066</v>
      </c>
      <c r="C15" s="76"/>
      <c r="D15">
        <f t="shared" si="1"/>
        <v>-4.4100038055735524</v>
      </c>
      <c r="E15">
        <f t="shared" si="2"/>
        <v>-71.613671902186056</v>
      </c>
    </row>
    <row r="16" spans="1:25" x14ac:dyDescent="0.2">
      <c r="A16">
        <v>0.06</v>
      </c>
      <c r="B16">
        <f t="shared" si="0"/>
        <v>0.28195568014237371</v>
      </c>
      <c r="C16" s="76"/>
      <c r="D16">
        <f t="shared" si="1"/>
        <v>-5.0757078472356678</v>
      </c>
      <c r="E16">
        <f t="shared" si="2"/>
        <v>-61.285886635746365</v>
      </c>
    </row>
    <row r="17" spans="1:5" x14ac:dyDescent="0.2">
      <c r="A17">
        <v>7.0000000000000007E-2</v>
      </c>
      <c r="B17">
        <f t="shared" si="0"/>
        <v>0.2283235300200214</v>
      </c>
      <c r="C17" s="76"/>
      <c r="D17">
        <f t="shared" si="1"/>
        <v>-5.6312859948093337</v>
      </c>
      <c r="E17">
        <f t="shared" si="2"/>
        <v>-49.628402485151859</v>
      </c>
    </row>
    <row r="18" spans="1:5" x14ac:dyDescent="0.2">
      <c r="A18">
        <v>0.08</v>
      </c>
      <c r="B18">
        <f t="shared" si="0"/>
        <v>0.16973752249656204</v>
      </c>
      <c r="C18" s="76"/>
      <c r="D18">
        <f t="shared" si="1"/>
        <v>-6.0646840595825466</v>
      </c>
      <c r="E18">
        <f t="shared" si="2"/>
        <v>-36.894147889852732</v>
      </c>
    </row>
    <row r="19" spans="1:5" x14ac:dyDescent="0.2">
      <c r="A19">
        <v>0.09</v>
      </c>
      <c r="B19">
        <f t="shared" si="0"/>
        <v>0.10746877810410163</v>
      </c>
      <c r="C19" s="76"/>
      <c r="D19">
        <f t="shared" si="1"/>
        <v>-6.3664987522376766</v>
      </c>
      <c r="E19">
        <f t="shared" si="2"/>
        <v>-23.359413608707534</v>
      </c>
    </row>
    <row r="20" spans="1:5" x14ac:dyDescent="0.2">
      <c r="A20">
        <v>0.1</v>
      </c>
      <c r="B20">
        <f t="shared" si="0"/>
        <v>4.2868320454789173E-2</v>
      </c>
      <c r="C20" s="76"/>
      <c r="D20">
        <f t="shared" si="1"/>
        <v>-6.5301817027979521</v>
      </c>
      <c r="E20">
        <f t="shared" si="2"/>
        <v>-9.317858134052976</v>
      </c>
    </row>
    <row r="21" spans="1:5" x14ac:dyDescent="0.2">
      <c r="A21">
        <v>0.11</v>
      </c>
      <c r="B21">
        <f t="shared" si="0"/>
        <v>-2.2662236455599647E-2</v>
      </c>
      <c r="C21" s="76"/>
      <c r="D21">
        <f t="shared" si="1"/>
        <v>-6.5521815383672175</v>
      </c>
      <c r="E21">
        <f t="shared" si="2"/>
        <v>4.9258637159891396</v>
      </c>
    </row>
    <row r="22" spans="1:5" x14ac:dyDescent="0.2">
      <c r="A22">
        <v>0.12</v>
      </c>
      <c r="B22">
        <f t="shared" si="0"/>
        <v>-8.7701098586298681E-2</v>
      </c>
      <c r="C22" s="76"/>
      <c r="D22">
        <f t="shared" si="1"/>
        <v>-6.4320209360508578</v>
      </c>
      <c r="E22">
        <f t="shared" si="2"/>
        <v>19.062710788717883</v>
      </c>
    </row>
    <row r="23" spans="1:5" x14ac:dyDescent="0.2">
      <c r="A23">
        <v>0.13</v>
      </c>
      <c r="B23">
        <f t="shared" si="0"/>
        <v>-0.15083714002970863</v>
      </c>
      <c r="C23" s="76"/>
      <c r="D23">
        <f t="shared" si="1"/>
        <v>-6.172306979267101</v>
      </c>
      <c r="E23">
        <f t="shared" si="2"/>
        <v>32.78596075685747</v>
      </c>
    </row>
    <row r="24" spans="1:5" x14ac:dyDescent="0.2">
      <c r="A24">
        <v>0.14000000000000001</v>
      </c>
      <c r="B24">
        <f t="shared" si="0"/>
        <v>-0.2107005197267254</v>
      </c>
      <c r="C24" s="76"/>
      <c r="D24">
        <f t="shared" si="1"/>
        <v>-5.7786745927513472</v>
      </c>
      <c r="E24">
        <f t="shared" si="2"/>
        <v>45.79786496780104</v>
      </c>
    </row>
    <row r="25" spans="1:5" x14ac:dyDescent="0.2">
      <c r="A25">
        <v>0.15</v>
      </c>
      <c r="B25">
        <f t="shared" si="0"/>
        <v>-0.26599240243885458</v>
      </c>
      <c r="C25" s="76"/>
      <c r="D25">
        <f t="shared" si="1"/>
        <v>-5.2596642835248648</v>
      </c>
      <c r="E25">
        <f t="shared" si="2"/>
        <v>57.816108594109444</v>
      </c>
    </row>
    <row r="26" spans="1:5" x14ac:dyDescent="0.2">
      <c r="A26">
        <v>0.16</v>
      </c>
      <c r="B26">
        <f t="shared" si="0"/>
        <v>-0.31551313913136675</v>
      </c>
      <c r="C26" s="76"/>
      <c r="D26">
        <f t="shared" si="1"/>
        <v>-4.6265368404401519</v>
      </c>
      <c r="E26">
        <f t="shared" si="2"/>
        <v>68.579935921593886</v>
      </c>
    </row>
    <row r="27" spans="1:5" x14ac:dyDescent="0.2">
      <c r="A27">
        <v>0.17</v>
      </c>
      <c r="B27">
        <f t="shared" si="0"/>
        <v>-0.35818829534737079</v>
      </c>
      <c r="C27" s="76"/>
      <c r="D27">
        <f t="shared" si="1"/>
        <v>-3.8930290127034515</v>
      </c>
      <c r="E27">
        <f t="shared" si="2"/>
        <v>77.855807876704532</v>
      </c>
    </row>
    <row r="28" spans="1:5" x14ac:dyDescent="0.2">
      <c r="A28">
        <v>0.18</v>
      </c>
      <c r="B28">
        <f t="shared" si="0"/>
        <v>-0.39309196284409598</v>
      </c>
      <c r="C28" s="76"/>
      <c r="D28">
        <f t="shared" si="1"/>
        <v>-3.0750554683338014</v>
      </c>
      <c r="E28">
        <f t="shared" si="2"/>
        <v>85.442469043792713</v>
      </c>
    </row>
    <row r="29" spans="1:5" x14ac:dyDescent="0.2">
      <c r="A29">
        <v>0.19</v>
      </c>
      <c r="B29">
        <f t="shared" si="0"/>
        <v>-0.41946684870679429</v>
      </c>
      <c r="C29" s="76"/>
      <c r="D29">
        <f t="shared" si="1"/>
        <v>-2.1903634990638152</v>
      </c>
      <c r="E29">
        <f t="shared" si="2"/>
        <v>91.175314234908811</v>
      </c>
    </row>
    <row r="30" spans="1:5" x14ac:dyDescent="0.2">
      <c r="A30">
        <v>0.2</v>
      </c>
      <c r="B30">
        <f t="shared" si="0"/>
        <v>-0.43674070607364274</v>
      </c>
      <c r="C30" s="76"/>
      <c r="D30">
        <f t="shared" si="1"/>
        <v>-1.2581479634316559</v>
      </c>
      <c r="E30">
        <f t="shared" si="2"/>
        <v>94.929959872167004</v>
      </c>
    </row>
    <row r="31" spans="1:5" x14ac:dyDescent="0.2">
      <c r="A31">
        <v>0.21</v>
      </c>
      <c r="B31">
        <f t="shared" si="0"/>
        <v>-0.4445387499798375</v>
      </c>
      <c r="C31" s="76"/>
      <c r="D31">
        <f t="shared" si="1"/>
        <v>-0.29863482251200574</v>
      </c>
      <c r="E31">
        <f t="shared" si="2"/>
        <v>96.624942695617491</v>
      </c>
    </row>
    <row r="32" spans="1:5" x14ac:dyDescent="0.2">
      <c r="A32">
        <v>0.22</v>
      </c>
      <c r="B32">
        <f t="shared" si="0"/>
        <v>-0.44269178893856403</v>
      </c>
      <c r="C32" s="76"/>
      <c r="D32">
        <f t="shared" si="1"/>
        <v>0.66735769583142712</v>
      </c>
      <c r="E32">
        <f t="shared" si="2"/>
        <v>96.223487243686293</v>
      </c>
    </row>
    <row r="33" spans="1:5" x14ac:dyDescent="0.2">
      <c r="A33">
        <v>0.23</v>
      </c>
      <c r="B33">
        <f t="shared" si="0"/>
        <v>-0.43123989583071654</v>
      </c>
      <c r="C33" s="76"/>
      <c r="D33">
        <f t="shared" si="1"/>
        <v>1.6188707829029725</v>
      </c>
      <c r="E33">
        <f t="shared" si="2"/>
        <v>93.734303757764565</v>
      </c>
    </row>
    <row r="34" spans="1:5" x14ac:dyDescent="0.2">
      <c r="A34">
        <v>0.24</v>
      </c>
      <c r="B34">
        <f t="shared" si="0"/>
        <v>-0.41043153845733177</v>
      </c>
      <c r="C34" s="76"/>
      <c r="D34">
        <f t="shared" si="1"/>
        <v>2.5352597852662178</v>
      </c>
      <c r="E34">
        <f t="shared" si="2"/>
        <v>89.211399199085648</v>
      </c>
    </row>
    <row r="35" spans="1:5" x14ac:dyDescent="0.2">
      <c r="A35">
        <v>0.25</v>
      </c>
      <c r="B35">
        <f t="shared" si="0"/>
        <v>-0.38071818861884121</v>
      </c>
      <c r="C35" s="76"/>
      <c r="D35">
        <f t="shared" si="1"/>
        <v>3.3966421247162346</v>
      </c>
      <c r="E35">
        <f t="shared" si="2"/>
        <v>82.752905478191337</v>
      </c>
    </row>
    <row r="36" spans="1:5" x14ac:dyDescent="0.2">
      <c r="A36">
        <v>0.26</v>
      </c>
      <c r="B36">
        <f t="shared" si="0"/>
        <v>-0.34274452668610367</v>
      </c>
      <c r="C36" s="76"/>
      <c r="D36">
        <f t="shared" si="1"/>
        <v>4.1843286837665605</v>
      </c>
      <c r="E36">
        <f t="shared" si="2"/>
        <v>74.498950320491502</v>
      </c>
    </row>
    <row r="37" spans="1:5" x14ac:dyDescent="0.2">
      <c r="A37">
        <v>0.27</v>
      </c>
      <c r="B37">
        <f t="shared" si="0"/>
        <v>-0.29733445419128329</v>
      </c>
      <c r="C37" s="76"/>
      <c r="D37">
        <f t="shared" si="1"/>
        <v>4.8812292970279252</v>
      </c>
      <c r="E37">
        <f t="shared" si="2"/>
        <v>64.62861696301735</v>
      </c>
    </row>
    <row r="38" spans="1:5" x14ac:dyDescent="0.2">
      <c r="A38">
        <v>0.28000000000000003</v>
      </c>
      <c r="B38">
        <f t="shared" si="0"/>
        <v>-0.24547321791859686</v>
      </c>
      <c r="C38" s="76"/>
      <c r="D38">
        <f t="shared" si="1"/>
        <v>5.4722235506711545</v>
      </c>
      <c r="E38">
        <f t="shared" si="2"/>
        <v>53.356058646786224</v>
      </c>
    </row>
    <row r="39" spans="1:5" x14ac:dyDescent="0.2">
      <c r="A39">
        <v>0.28999999999999998</v>
      </c>
      <c r="B39">
        <f t="shared" si="0"/>
        <v>-0.18828603334240934</v>
      </c>
      <c r="C39" s="76"/>
      <c r="D39">
        <f t="shared" si="1"/>
        <v>5.9444888448653561</v>
      </c>
      <c r="E39">
        <f t="shared" si="2"/>
        <v>40.9258522073061</v>
      </c>
    </row>
    <row r="40" spans="1:5" x14ac:dyDescent="0.2">
      <c r="A40">
        <v>0.3</v>
      </c>
      <c r="B40">
        <f t="shared" si="0"/>
        <v>-0.1270136712126132</v>
      </c>
      <c r="C40" s="76"/>
      <c r="D40">
        <f t="shared" si="1"/>
        <v>6.2877786013331036</v>
      </c>
      <c r="E40">
        <f t="shared" si="2"/>
        <v>27.607691574773611</v>
      </c>
    </row>
    <row r="41" spans="1:5" x14ac:dyDescent="0.2">
      <c r="A41">
        <v>0.31</v>
      </c>
      <c r="B41">
        <f t="shared" si="0"/>
        <v>-6.2985536976791809E-2</v>
      </c>
      <c r="C41" s="76"/>
      <c r="D41">
        <f t="shared" si="1"/>
        <v>6.4946445798485497</v>
      </c>
      <c r="E41">
        <f t="shared" si="2"/>
        <v>13.69053631727547</v>
      </c>
    </row>
    <row r="42" spans="1:5" x14ac:dyDescent="0.2">
      <c r="A42">
        <v>0.32</v>
      </c>
      <c r="B42">
        <f t="shared" si="0"/>
        <v>2.4091728742884435E-3</v>
      </c>
      <c r="C42" s="76"/>
      <c r="D42">
        <f t="shared" si="1"/>
        <v>6.5605984801536517</v>
      </c>
      <c r="E42">
        <f t="shared" si="2"/>
        <v>-0.52365781595533623</v>
      </c>
    </row>
    <row r="43" spans="1:5" x14ac:dyDescent="0.2">
      <c r="A43">
        <v>0.33</v>
      </c>
      <c r="B43">
        <f t="shared" si="0"/>
        <v>6.7751611726962216E-2</v>
      </c>
      <c r="C43" s="76"/>
      <c r="D43">
        <f t="shared" si="1"/>
        <v>6.484209323071056</v>
      </c>
      <c r="E43">
        <f t="shared" si="2"/>
        <v>-14.726490324972509</v>
      </c>
    </row>
    <row r="44" spans="1:5" x14ac:dyDescent="0.2">
      <c r="A44">
        <v>0.34</v>
      </c>
      <c r="B44">
        <f t="shared" si="0"/>
        <v>0.13162406707350713</v>
      </c>
      <c r="C44" s="76"/>
      <c r="D44">
        <f t="shared" si="1"/>
        <v>6.2671344979690211</v>
      </c>
      <c r="E44">
        <f t="shared" si="2"/>
        <v>-28.609807219097515</v>
      </c>
    </row>
    <row r="45" spans="1:5" x14ac:dyDescent="0.2">
      <c r="A45">
        <v>0.35</v>
      </c>
      <c r="B45">
        <f t="shared" si="0"/>
        <v>0.1926407201346777</v>
      </c>
      <c r="C45" s="76"/>
      <c r="D45">
        <f t="shared" si="1"/>
        <v>5.9140838029521525</v>
      </c>
      <c r="E45">
        <f t="shared" si="2"/>
        <v>-41.872386928473553</v>
      </c>
    </row>
    <row r="46" spans="1:5" x14ac:dyDescent="0.2">
      <c r="A46">
        <v>0.36</v>
      </c>
      <c r="B46">
        <f t="shared" si="0"/>
        <v>0.24947771349494008</v>
      </c>
      <c r="C46" s="76"/>
      <c r="D46">
        <f t="shared" si="1"/>
        <v>5.4327172579856393</v>
      </c>
      <c r="E46">
        <f t="shared" si="2"/>
        <v>-54.226475805260186</v>
      </c>
    </row>
    <row r="47" spans="1:5" x14ac:dyDescent="0.2">
      <c r="A47">
        <v>0.37</v>
      </c>
      <c r="B47">
        <f t="shared" si="0"/>
        <v>0.30090187438322802</v>
      </c>
      <c r="C47" s="76"/>
      <c r="D47">
        <f t="shared" si="1"/>
        <v>4.8334789080665894</v>
      </c>
      <c r="E47">
        <f t="shared" si="2"/>
        <v>-65.404031415938448</v>
      </c>
    </row>
    <row r="48" spans="1:5" x14ac:dyDescent="0.2">
      <c r="A48">
        <v>0.38</v>
      </c>
      <c r="B48">
        <f t="shared" si="0"/>
        <v>0.34579747040003889</v>
      </c>
      <c r="C48" s="76"/>
      <c r="D48">
        <f t="shared" si="1"/>
        <v>4.1293702223581397</v>
      </c>
      <c r="E48">
        <f t="shared" si="2"/>
        <v>-75.162538166152459</v>
      </c>
    </row>
    <row r="49" spans="1:5" x14ac:dyDescent="0.2">
      <c r="A49">
        <v>0.39</v>
      </c>
      <c r="B49">
        <f t="shared" si="0"/>
        <v>0.38319041718102564</v>
      </c>
      <c r="C49" s="76"/>
      <c r="D49">
        <f t="shared" si="1"/>
        <v>3.3356680057676704</v>
      </c>
      <c r="E49">
        <f t="shared" si="2"/>
        <v>-83.290269078467745</v>
      </c>
    </row>
    <row r="50" spans="1:5" x14ac:dyDescent="0.2">
      <c r="A50">
        <v>0.4</v>
      </c>
      <c r="B50">
        <f t="shared" si="0"/>
        <v>0.41226941277170331</v>
      </c>
      <c r="C50" s="76"/>
      <c r="D50">
        <f t="shared" si="1"/>
        <v>2.4695929433449755</v>
      </c>
      <c r="E50">
        <f t="shared" si="2"/>
        <v>-89.610879560057441</v>
      </c>
    </row>
    <row r="51" spans="1:5" x14ac:dyDescent="0.2">
      <c r="A51">
        <v>0.41</v>
      </c>
      <c r="B51">
        <f t="shared" si="0"/>
        <v>0.43240354016798088</v>
      </c>
      <c r="C51" s="76"/>
      <c r="D51">
        <f t="shared" si="1"/>
        <v>1.5499359689790073</v>
      </c>
      <c r="E51">
        <f t="shared" si="2"/>
        <v>-93.987233490912345</v>
      </c>
    </row>
    <row r="52" spans="1:5" x14ac:dyDescent="0.2">
      <c r="A52">
        <v>0.42</v>
      </c>
      <c r="B52">
        <f t="shared" si="0"/>
        <v>0.44315595610623132</v>
      </c>
      <c r="C52" s="76"/>
      <c r="D52">
        <f t="shared" si="1"/>
        <v>0.59665056494353996</v>
      </c>
      <c r="E52">
        <f t="shared" si="2"/>
        <v>-96.324378619250453</v>
      </c>
    </row>
    <row r="53" spans="1:5" x14ac:dyDescent="0.2">
      <c r="A53">
        <v>0.43</v>
      </c>
      <c r="B53">
        <f t="shared" si="0"/>
        <v>0.44429336910190698</v>
      </c>
      <c r="C53" s="76"/>
      <c r="D53">
        <f t="shared" si="1"/>
        <v>-0.36958016197109417</v>
      </c>
      <c r="E53">
        <f t="shared" si="2"/>
        <v>-96.571606707990526</v>
      </c>
    </row>
    <row r="54" spans="1:5" x14ac:dyDescent="0.2">
      <c r="A54">
        <v>0.44</v>
      </c>
      <c r="B54">
        <f t="shared" si="0"/>
        <v>0.43579110109494879</v>
      </c>
      <c r="C54" s="76"/>
      <c r="D54">
        <f t="shared" si="1"/>
        <v>-1.3277922347394722</v>
      </c>
      <c r="E54">
        <f t="shared" si="2"/>
        <v>-94.723553733998088</v>
      </c>
    </row>
    <row r="55" spans="1:5" x14ac:dyDescent="0.2">
      <c r="A55">
        <v>0.45</v>
      </c>
      <c r="B55">
        <f t="shared" si="0"/>
        <v>0.41783362288119963</v>
      </c>
      <c r="C55" s="76"/>
      <c r="D55">
        <f t="shared" si="1"/>
        <v>-2.2571956543277771</v>
      </c>
      <c r="E55">
        <f t="shared" si="2"/>
        <v>-90.820316269457564</v>
      </c>
    </row>
    <row r="56" spans="1:5" x14ac:dyDescent="0.2">
      <c r="A56">
        <v>0.46</v>
      </c>
      <c r="B56">
        <f t="shared" si="0"/>
        <v>0.39081055171275153</v>
      </c>
      <c r="C56" s="76"/>
      <c r="D56">
        <f t="shared" si="1"/>
        <v>-3.1376254731796327</v>
      </c>
      <c r="E56">
        <f t="shared" si="2"/>
        <v>-84.946581520283686</v>
      </c>
    </row>
    <row r="57" spans="1:5" x14ac:dyDescent="0.2">
      <c r="A57">
        <v>0.47</v>
      </c>
      <c r="B57">
        <f t="shared" si="0"/>
        <v>0.35530819790592133</v>
      </c>
      <c r="C57" s="76"/>
      <c r="D57">
        <f t="shared" si="1"/>
        <v>-3.9499793071741562</v>
      </c>
      <c r="E57">
        <f t="shared" si="2"/>
        <v>-77.229789896831065</v>
      </c>
    </row>
    <row r="58" spans="1:5" x14ac:dyDescent="0.2">
      <c r="A58">
        <v>0.48</v>
      </c>
      <c r="B58">
        <f t="shared" si="0"/>
        <v>0.31209684386720093</v>
      </c>
      <c r="C58" s="76"/>
      <c r="D58">
        <f t="shared" si="1"/>
        <v>-4.676631793509296</v>
      </c>
      <c r="E58">
        <f t="shared" si="2"/>
        <v>-67.837369982974806</v>
      </c>
    </row>
    <row r="59" spans="1:5" x14ac:dyDescent="0.2">
      <c r="A59">
        <v>0.49</v>
      </c>
      <c r="B59">
        <f t="shared" si="0"/>
        <v>0.26211403153980511</v>
      </c>
      <c r="C59" s="76"/>
      <c r="D59">
        <f t="shared" si="1"/>
        <v>-5.3018170021595754</v>
      </c>
      <c r="E59">
        <f t="shared" si="2"/>
        <v>-56.973105895492054</v>
      </c>
    </row>
    <row r="60" spans="1:5" x14ac:dyDescent="0.2">
      <c r="A60">
        <v>0.5</v>
      </c>
      <c r="B60">
        <f t="shared" si="0"/>
        <v>0.20644422087735534</v>
      </c>
      <c r="C60" s="76"/>
      <c r="D60">
        <f t="shared" si="1"/>
        <v>-5.8119705038580536</v>
      </c>
      <c r="E60">
        <f t="shared" si="2"/>
        <v>-44.872715849901965</v>
      </c>
    </row>
    <row r="61" spans="1:5" x14ac:dyDescent="0.2">
      <c r="A61">
        <v>0.51</v>
      </c>
      <c r="B61">
        <f t="shared" si="0"/>
        <v>0.14629526068783141</v>
      </c>
      <c r="C61" s="76"/>
      <c r="D61">
        <f t="shared" si="1"/>
        <v>-6.1960236728705889</v>
      </c>
      <c r="E61">
        <f t="shared" si="2"/>
        <v>-31.798737863107043</v>
      </c>
    </row>
    <row r="62" spans="1:5" x14ac:dyDescent="0.2">
      <c r="A62">
        <v>0.52</v>
      </c>
      <c r="B62">
        <f t="shared" si="0"/>
        <v>8.2972182351825768E-2</v>
      </c>
      <c r="C62" s="76"/>
      <c r="D62">
        <f t="shared" si="1"/>
        <v>-6.445643839175986</v>
      </c>
      <c r="E62">
        <f t="shared" si="2"/>
        <v>-18.034833555992851</v>
      </c>
    </row>
    <row r="63" spans="1:5" x14ac:dyDescent="0.2">
      <c r="A63">
        <v>0.53</v>
      </c>
      <c r="B63">
        <f t="shared" si="0"/>
        <v>1.7848885003817452E-2</v>
      </c>
      <c r="C63" s="76"/>
      <c r="D63">
        <f t="shared" si="1"/>
        <v>-6.55541507955245</v>
      </c>
      <c r="E63">
        <f t="shared" si="2"/>
        <v>-3.8796336444297621</v>
      </c>
    </row>
    <row r="64" spans="1:5" x14ac:dyDescent="0.2">
      <c r="A64">
        <v>0.54</v>
      </c>
      <c r="B64">
        <f t="shared" si="0"/>
        <v>-4.7661673486614153E-2</v>
      </c>
      <c r="C64" s="76"/>
      <c r="D64">
        <f t="shared" si="1"/>
        <v>-6.5229557250080878</v>
      </c>
      <c r="E64">
        <f t="shared" si="2"/>
        <v>10.359741349050454</v>
      </c>
    </row>
    <row r="65" spans="1:5" x14ac:dyDescent="0.2">
      <c r="A65">
        <v>0.55000000000000004</v>
      </c>
      <c r="B65">
        <f t="shared" si="0"/>
        <v>-0.11213813297756851</v>
      </c>
      <c r="C65" s="76"/>
      <c r="D65">
        <f t="shared" si="1"/>
        <v>-6.3489700350370102</v>
      </c>
      <c r="E65">
        <f t="shared" si="2"/>
        <v>24.374344584004294</v>
      </c>
    </row>
    <row r="66" spans="1:5" x14ac:dyDescent="0.2">
      <c r="A66">
        <v>0.56000000000000005</v>
      </c>
      <c r="B66">
        <f t="shared" si="0"/>
        <v>-0.17418156981882721</v>
      </c>
      <c r="C66" s="76"/>
      <c r="D66">
        <f t="shared" si="1"/>
        <v>-6.037232917542374</v>
      </c>
      <c r="E66">
        <f t="shared" si="2"/>
        <v>37.860106015820286</v>
      </c>
    </row>
    <row r="67" spans="1:5" x14ac:dyDescent="0.2">
      <c r="A67">
        <v>0.56999999999999995</v>
      </c>
      <c r="B67">
        <f t="shared" si="0"/>
        <v>-0.23244584881898159</v>
      </c>
      <c r="C67" s="76"/>
      <c r="D67">
        <f t="shared" si="1"/>
        <v>-5.5945080259530142</v>
      </c>
      <c r="E67">
        <f t="shared" si="2"/>
        <v>50.524429699293847</v>
      </c>
    </row>
    <row r="68" spans="1:5" x14ac:dyDescent="0.2">
      <c r="A68">
        <v>0.57999999999999996</v>
      </c>
      <c r="B68">
        <f t="shared" si="0"/>
        <v>-0.28566682987946573</v>
      </c>
      <c r="C68" s="76"/>
      <c r="D68">
        <f t="shared" si="1"/>
        <v>-5.0304010105523549</v>
      </c>
      <c r="E68">
        <f t="shared" si="2"/>
        <v>62.092542142600678</v>
      </c>
    </row>
    <row r="69" spans="1:5" x14ac:dyDescent="0.2">
      <c r="A69">
        <v>0.59</v>
      </c>
      <c r="B69">
        <f t="shared" si="0"/>
        <v>-0.3326897956091372</v>
      </c>
      <c r="C69" s="76"/>
      <c r="D69">
        <f t="shared" si="1"/>
        <v>-4.3571511079754384</v>
      </c>
      <c r="E69">
        <f t="shared" si="2"/>
        <v>72.313453973602066</v>
      </c>
    </row>
    <row r="70" spans="1:5" x14ac:dyDescent="0.2">
      <c r="A70">
        <v>0.6</v>
      </c>
      <c r="B70">
        <f t="shared" si="0"/>
        <v>-0.37249450483188401</v>
      </c>
      <c r="C70" s="76"/>
      <c r="D70">
        <f t="shared" si="1"/>
        <v>-3.5893655906850688</v>
      </c>
      <c r="E70">
        <f t="shared" si="2"/>
        <v>80.965405570258312</v>
      </c>
    </row>
    <row r="71" spans="1:5" x14ac:dyDescent="0.2">
      <c r="A71">
        <v>0.61</v>
      </c>
      <c r="B71">
        <f t="shared" si="0"/>
        <v>-0.40421732840985575</v>
      </c>
      <c r="C71" s="76"/>
      <c r="D71">
        <f t="shared" si="1"/>
        <v>-2.7437028379860857</v>
      </c>
      <c r="E71">
        <f t="shared" si="2"/>
        <v>87.860678503166255</v>
      </c>
    </row>
    <row r="72" spans="1:5" x14ac:dyDescent="0.2">
      <c r="A72">
        <v>0.62</v>
      </c>
      <c r="B72">
        <f t="shared" si="0"/>
        <v>-0.4271699871089672</v>
      </c>
      <c r="C72" s="76"/>
      <c r="D72">
        <f t="shared" si="1"/>
        <v>-1.8385109048771746</v>
      </c>
      <c r="E72">
        <f t="shared" si="2"/>
        <v>92.849668398005122</v>
      </c>
    </row>
    <row r="73" spans="1:5" x14ac:dyDescent="0.2">
      <c r="A73">
        <v>0.63</v>
      </c>
      <c r="B73">
        <f t="shared" si="0"/>
        <v>-0.44085448495761786</v>
      </c>
      <c r="C73" s="76"/>
      <c r="D73">
        <f t="shared" si="1"/>
        <v>-0.89342943058805357</v>
      </c>
      <c r="E73">
        <f t="shared" si="2"/>
        <v>95.824130850387846</v>
      </c>
    </row>
    <row r="74" spans="1:5" x14ac:dyDescent="0.2">
      <c r="A74">
        <v>0.64</v>
      </c>
      <c r="B74">
        <f t="shared" si="0"/>
        <v>-0.44497391409465975</v>
      </c>
      <c r="C74" s="76"/>
      <c r="D74">
        <f t="shared" si="1"/>
        <v>7.1036475943749067E-2</v>
      </c>
      <c r="E74">
        <f t="shared" si="2"/>
        <v>96.719529967615259</v>
      </c>
    </row>
    <row r="75" spans="1:5" x14ac:dyDescent="0.2">
      <c r="A75">
        <v>0.65</v>
      </c>
      <c r="B75">
        <f t="shared" ref="B75:B100" si="3">$D$4*COS($A$4*A75)+$E$4*SIN($A$4*A75)</f>
        <v>-0.43943889667753283</v>
      </c>
      <c r="C75" s="76"/>
      <c r="D75">
        <f t="shared" ref="D75:D100" si="4">(-$D$4*SIN($A$4*A75)+$E$4*COS($A$4*A75))*$A$4</f>
        <v>1.0339611283960051</v>
      </c>
      <c r="E75">
        <f t="shared" ref="E75:E100" si="5">-B75*$A$4*$A$4</f>
        <v>95.516438581828552</v>
      </c>
    </row>
    <row r="76" spans="1:5" x14ac:dyDescent="0.2">
      <c r="A76">
        <v>0.66</v>
      </c>
      <c r="B76">
        <f t="shared" si="3"/>
        <v>-0.42436952408269196</v>
      </c>
      <c r="C76" s="76"/>
      <c r="D76">
        <f t="shared" si="4"/>
        <v>1.9744522805081288</v>
      </c>
      <c r="E76">
        <f t="shared" si="5"/>
        <v>92.240959754613939</v>
      </c>
    </row>
    <row r="77" spans="1:5" x14ac:dyDescent="0.2">
      <c r="A77">
        <v>0.67</v>
      </c>
      <c r="B77">
        <f t="shared" si="3"/>
        <v>-0.40009275132415756</v>
      </c>
      <c r="C77" s="76"/>
      <c r="D77">
        <f t="shared" si="4"/>
        <v>2.8721044179901454</v>
      </c>
      <c r="E77">
        <f t="shared" si="5"/>
        <v>86.964160427818911</v>
      </c>
    </row>
    <row r="78" spans="1:5" x14ac:dyDescent="0.2">
      <c r="A78">
        <v>0.68</v>
      </c>
      <c r="B78">
        <f t="shared" si="3"/>
        <v>-0.36713530322260179</v>
      </c>
      <c r="C78" s="76"/>
      <c r="D78">
        <f t="shared" si="4"/>
        <v>3.7074414899746735</v>
      </c>
      <c r="E78">
        <f t="shared" si="5"/>
        <v>79.800529508464749</v>
      </c>
    </row>
    <row r="79" spans="1:5" x14ac:dyDescent="0.2">
      <c r="A79">
        <v>0.69</v>
      </c>
      <c r="B79">
        <f t="shared" si="3"/>
        <v>-0.3262122462373821</v>
      </c>
      <c r="C79" s="76"/>
      <c r="D79">
        <f t="shared" si="4"/>
        <v>4.4623394742196592</v>
      </c>
      <c r="E79">
        <f t="shared" si="5"/>
        <v>70.905493842157384</v>
      </c>
    </row>
    <row r="80" spans="1:5" x14ac:dyDescent="0.2">
      <c r="A80">
        <v>0.7</v>
      </c>
      <c r="B80">
        <f t="shared" si="3"/>
        <v>-0.27821147391457429</v>
      </c>
      <c r="C80" s="76"/>
      <c r="D80">
        <f t="shared" si="4"/>
        <v>5.1204196078091506</v>
      </c>
      <c r="E80">
        <f t="shared" si="5"/>
        <v>60.472045970071882</v>
      </c>
    </row>
    <row r="81" spans="1:5" x14ac:dyDescent="0.2">
      <c r="A81">
        <v>0.71</v>
      </c>
      <c r="B81">
        <f t="shared" si="3"/>
        <v>-0.22417444256492142</v>
      </c>
      <c r="C81" s="76"/>
      <c r="D81">
        <f t="shared" si="4"/>
        <v>5.6674037515604647</v>
      </c>
      <c r="E81">
        <f t="shared" si="5"/>
        <v>48.726556835911332</v>
      </c>
    </row>
    <row r="82" spans="1:5" x14ac:dyDescent="0.2">
      <c r="A82">
        <v>0.72</v>
      </c>
      <c r="B82">
        <f t="shared" si="3"/>
        <v>-0.16527357514308583</v>
      </c>
      <c r="C82" s="76"/>
      <c r="D82">
        <f t="shared" si="4"/>
        <v>6.0914241779180127</v>
      </c>
      <c r="E82">
        <f t="shared" si="5"/>
        <v>35.92386429310114</v>
      </c>
    </row>
    <row r="83" spans="1:5" x14ac:dyDescent="0.2">
      <c r="A83">
        <v>0.73</v>
      </c>
      <c r="B83">
        <f t="shared" si="3"/>
        <v>-0.10278682358851085</v>
      </c>
      <c r="C83" s="76"/>
      <c r="D83">
        <f t="shared" si="4"/>
        <v>6.3832810609718242</v>
      </c>
      <c r="E83">
        <f t="shared" si="5"/>
        <v>22.341743975198721</v>
      </c>
    </row>
    <row r="84" spans="1:5" x14ac:dyDescent="0.2">
      <c r="A84">
        <v>0.74</v>
      </c>
      <c r="B84">
        <f t="shared" si="3"/>
        <v>-3.8069941540045192E-2</v>
      </c>
      <c r="C84" s="76"/>
      <c r="D84">
        <f t="shared" si="4"/>
        <v>6.5366420819282487</v>
      </c>
      <c r="E84">
        <f t="shared" si="5"/>
        <v>8.274882493144224</v>
      </c>
    </row>
    <row r="85" spans="1:5" x14ac:dyDescent="0.2">
      <c r="A85">
        <v>0.75</v>
      </c>
      <c r="B85">
        <f t="shared" si="3"/>
        <v>2.7472930986235673E-2</v>
      </c>
      <c r="C85" s="76"/>
      <c r="D85">
        <f t="shared" si="4"/>
        <v>6.5481798192611693</v>
      </c>
      <c r="E85">
        <f t="shared" si="5"/>
        <v>-5.9715162791681866</v>
      </c>
    </row>
    <row r="86" spans="1:5" x14ac:dyDescent="0.2">
      <c r="A86">
        <v>0.76</v>
      </c>
      <c r="B86">
        <f t="shared" si="3"/>
        <v>9.2419732741868599E-2</v>
      </c>
      <c r="C86" s="76"/>
      <c r="D86">
        <f t="shared" si="4"/>
        <v>6.4176439426368121</v>
      </c>
      <c r="E86">
        <f t="shared" si="5"/>
        <v>-20.088353108772559</v>
      </c>
    </row>
    <row r="87" spans="1:5" x14ac:dyDescent="0.2">
      <c r="A87">
        <v>0.77</v>
      </c>
      <c r="B87">
        <f t="shared" si="3"/>
        <v>0.15536133522166834</v>
      </c>
      <c r="C87" s="76"/>
      <c r="D87">
        <f t="shared" si="4"/>
        <v>6.1478666442452212</v>
      </c>
      <c r="E87">
        <f t="shared" si="5"/>
        <v>-33.769339823781834</v>
      </c>
    </row>
    <row r="88" spans="1:5" x14ac:dyDescent="0.2">
      <c r="A88">
        <v>0.78</v>
      </c>
      <c r="B88">
        <f t="shared" si="3"/>
        <v>0.21493211604210563</v>
      </c>
      <c r="C88" s="76"/>
      <c r="D88">
        <f t="shared" si="4"/>
        <v>5.7447011896966895</v>
      </c>
      <c r="E88">
        <f t="shared" si="5"/>
        <v>-46.717644742912093</v>
      </c>
    </row>
    <row r="89" spans="1:5" x14ac:dyDescent="0.2">
      <c r="A89">
        <v>0.79</v>
      </c>
      <c r="B89">
        <f t="shared" si="3"/>
        <v>0.26983958838225797</v>
      </c>
      <c r="C89" s="76"/>
      <c r="D89">
        <f t="shared" si="4"/>
        <v>5.2168949217233154</v>
      </c>
      <c r="E89">
        <f t="shared" si="5"/>
        <v>-58.652332930767606</v>
      </c>
    </row>
    <row r="90" spans="1:5" x14ac:dyDescent="0.2">
      <c r="A90">
        <v>0.8</v>
      </c>
      <c r="B90">
        <f t="shared" si="3"/>
        <v>0.31889244362752833</v>
      </c>
      <c r="C90" s="76"/>
      <c r="D90">
        <f t="shared" si="4"/>
        <v>4.5758994720807884</v>
      </c>
      <c r="E90">
        <f t="shared" si="5"/>
        <v>-69.314461546879571</v>
      </c>
    </row>
    <row r="91" spans="1:5" x14ac:dyDescent="0.2">
      <c r="A91">
        <v>0.81</v>
      </c>
      <c r="B91">
        <f t="shared" si="3"/>
        <v>0.36102639878447723</v>
      </c>
      <c r="C91" s="76"/>
      <c r="D91">
        <f t="shared" si="4"/>
        <v>3.8356222994178504</v>
      </c>
      <c r="E91">
        <f t="shared" si="5"/>
        <v>-78.472698039793983</v>
      </c>
    </row>
    <row r="92" spans="1:5" x14ac:dyDescent="0.2">
      <c r="A92">
        <v>0.82</v>
      </c>
      <c r="B92">
        <f t="shared" si="3"/>
        <v>0.39532728786428162</v>
      </c>
      <c r="C92" s="76"/>
      <c r="D92">
        <f t="shared" si="4"/>
        <v>3.0121249439110676</v>
      </c>
      <c r="E92">
        <f t="shared" si="5"/>
        <v>-85.928339290180276</v>
      </c>
    </row>
    <row r="93" spans="1:5" x14ac:dyDescent="0.2">
      <c r="A93">
        <v>0.83</v>
      </c>
      <c r="B93">
        <f t="shared" si="3"/>
        <v>0.4210508962289789</v>
      </c>
      <c r="C93" s="76"/>
      <c r="D93">
        <f t="shared" si="4"/>
        <v>2.1232745455306516</v>
      </c>
      <c r="E93">
        <f t="shared" si="5"/>
        <v>-91.519622804330865</v>
      </c>
    </row>
    <row r="94" spans="1:5" x14ac:dyDescent="0.2">
      <c r="A94">
        <v>0.84</v>
      </c>
      <c r="B94">
        <f t="shared" si="3"/>
        <v>0.43763910756147428</v>
      </c>
      <c r="C94" s="76"/>
      <c r="D94">
        <f t="shared" si="4"/>
        <v>1.1883561868264156</v>
      </c>
      <c r="E94">
        <f t="shared" si="5"/>
        <v>-95.125236419562057</v>
      </c>
    </row>
    <row r="95" spans="1:5" x14ac:dyDescent="0.2">
      <c r="A95">
        <v>0.85</v>
      </c>
      <c r="B95">
        <f t="shared" si="3"/>
        <v>0.44473201312405097</v>
      </c>
      <c r="C95" s="76"/>
      <c r="D95">
        <f t="shared" si="4"/>
        <v>0.22765447109915254</v>
      </c>
      <c r="E95">
        <f t="shared" si="5"/>
        <v>-96.666950372643726</v>
      </c>
    </row>
    <row r="96" spans="1:5" x14ac:dyDescent="0.2">
      <c r="A96">
        <v>0.86</v>
      </c>
      <c r="B96">
        <f t="shared" si="3"/>
        <v>0.44217572057493643</v>
      </c>
      <c r="C96" s="76"/>
      <c r="D96">
        <f t="shared" si="4"/>
        <v>-0.73798658568703768</v>
      </c>
      <c r="E96">
        <f t="shared" si="5"/>
        <v>-96.111314624168187</v>
      </c>
    </row>
    <row r="97" spans="1:5" x14ac:dyDescent="0.2">
      <c r="A97">
        <v>0.87</v>
      </c>
      <c r="B97">
        <f t="shared" si="3"/>
        <v>0.43002569291771464</v>
      </c>
      <c r="C97" s="76"/>
      <c r="D97">
        <f t="shared" si="4"/>
        <v>-1.6876158003774953</v>
      </c>
      <c r="E97">
        <f t="shared" si="5"/>
        <v>-93.470384612594472</v>
      </c>
    </row>
    <row r="98" spans="1:5" x14ac:dyDescent="0.2">
      <c r="A98">
        <v>0.88</v>
      </c>
      <c r="B98">
        <f t="shared" si="3"/>
        <v>0.40854554513954089</v>
      </c>
      <c r="C98" s="76"/>
      <c r="D98">
        <f t="shared" si="4"/>
        <v>-2.6006293932693807</v>
      </c>
      <c r="E98">
        <f t="shared" si="5"/>
        <v>-88.801459691530624</v>
      </c>
    </row>
    <row r="99" spans="1:5" x14ac:dyDescent="0.2">
      <c r="A99">
        <v>0.89</v>
      </c>
      <c r="B99">
        <f t="shared" si="3"/>
        <v>0.37820132464708539</v>
      </c>
      <c r="C99" s="76"/>
      <c r="D99">
        <f t="shared" si="4"/>
        <v>-3.4572180212605739</v>
      </c>
      <c r="E99">
        <f t="shared" si="5"/>
        <v>-82.205839925290505</v>
      </c>
    </row>
    <row r="100" spans="1:5" x14ac:dyDescent="0.2">
      <c r="A100">
        <v>0.9</v>
      </c>
      <c r="B100">
        <f t="shared" si="3"/>
        <v>0.33965139959563379</v>
      </c>
      <c r="C100" s="76"/>
      <c r="D100">
        <f t="shared" si="4"/>
        <v>-4.2387965743796627</v>
      </c>
      <c r="E100">
        <f t="shared" si="5"/>
        <v>-73.826628216106968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5"/>
  <dimension ref="A1:AW242"/>
  <sheetViews>
    <sheetView topLeftCell="I1" zoomScale="60" zoomScaleNormal="60" workbookViewId="0">
      <selection activeCell="Q2" sqref="Q2"/>
    </sheetView>
  </sheetViews>
  <sheetFormatPr defaultRowHeight="12.75" x14ac:dyDescent="0.2"/>
  <cols>
    <col min="2" max="2" width="23.42578125" customWidth="1"/>
    <col min="3" max="3" width="20.7109375" customWidth="1"/>
    <col min="4" max="4" width="22.7109375" customWidth="1"/>
    <col min="5" max="6" width="20.7109375" bestFit="1" customWidth="1"/>
    <col min="7" max="7" width="22.42578125" customWidth="1"/>
    <col min="8" max="12" width="20.7109375" bestFit="1" customWidth="1"/>
    <col min="13" max="13" width="19.5703125" bestFit="1" customWidth="1"/>
    <col min="16" max="17" width="23.42578125" customWidth="1"/>
    <col min="19" max="19" width="22.42578125" customWidth="1"/>
    <col min="21" max="21" width="20.7109375" bestFit="1" customWidth="1"/>
    <col min="22" max="22" width="16.5703125" customWidth="1"/>
    <col min="24" max="24" width="19.5703125" bestFit="1" customWidth="1"/>
    <col min="25" max="25" width="22.5703125" customWidth="1"/>
  </cols>
  <sheetData>
    <row r="1" spans="1:49" ht="27.75" thickBot="1" x14ac:dyDescent="0.45">
      <c r="C1" s="43"/>
      <c r="D1" s="43"/>
      <c r="E1" s="43"/>
      <c r="F1" s="43"/>
      <c r="G1" s="43"/>
      <c r="H1" s="43"/>
      <c r="I1" s="43"/>
      <c r="J1" s="43"/>
      <c r="K1" s="43"/>
      <c r="L1" s="42" t="s">
        <v>141</v>
      </c>
      <c r="M1" s="43"/>
      <c r="N1" s="43"/>
      <c r="O1" s="43"/>
      <c r="P1" s="92" t="s">
        <v>142</v>
      </c>
      <c r="Q1" s="92" t="s">
        <v>389</v>
      </c>
      <c r="R1" s="43"/>
      <c r="S1" s="43"/>
      <c r="T1" s="43"/>
      <c r="U1" s="43"/>
      <c r="V1" s="43"/>
      <c r="W1" s="43"/>
      <c r="X1" s="43"/>
      <c r="Y1" s="43"/>
    </row>
    <row r="2" spans="1:49" ht="25.5" x14ac:dyDescent="0.35">
      <c r="B2" s="44"/>
      <c r="C2" s="44"/>
      <c r="D2" s="44"/>
      <c r="E2" s="44"/>
      <c r="F2" s="44"/>
      <c r="G2" s="44"/>
      <c r="H2" s="44"/>
      <c r="I2" s="44"/>
      <c r="J2" s="44"/>
      <c r="K2" s="44"/>
      <c r="L2" s="118" t="s">
        <v>322</v>
      </c>
      <c r="M2" s="119">
        <f>D5*C5</f>
        <v>12.45</v>
      </c>
      <c r="N2" s="44"/>
      <c r="O2" s="44"/>
      <c r="P2" s="45">
        <f>P5</f>
        <v>0.44590000000000002</v>
      </c>
      <c r="Q2" s="43">
        <f>(Q5+M5*C5*P5)/E5</f>
        <v>0.70222372973224423</v>
      </c>
      <c r="R2" s="43"/>
      <c r="S2" s="43"/>
      <c r="T2" s="43"/>
      <c r="U2" s="43"/>
      <c r="V2" s="43"/>
      <c r="W2" s="43"/>
      <c r="X2" s="46" t="s">
        <v>83</v>
      </c>
      <c r="Y2" s="47" t="s">
        <v>49</v>
      </c>
      <c r="AN2" s="153" t="s">
        <v>341</v>
      </c>
    </row>
    <row r="3" spans="1:49" ht="23.25" x14ac:dyDescent="0.35">
      <c r="B3" s="44" t="s">
        <v>35</v>
      </c>
      <c r="C3" s="44" t="s">
        <v>48</v>
      </c>
      <c r="D3" s="44" t="s">
        <v>120</v>
      </c>
      <c r="E3" s="44" t="s">
        <v>48</v>
      </c>
      <c r="F3" s="44" t="s">
        <v>86</v>
      </c>
      <c r="G3" s="44" t="s">
        <v>34</v>
      </c>
      <c r="H3" s="44" t="s">
        <v>57</v>
      </c>
      <c r="I3" s="44" t="s">
        <v>46</v>
      </c>
      <c r="J3" s="44" t="s">
        <v>49</v>
      </c>
      <c r="K3" s="44" t="s">
        <v>47</v>
      </c>
      <c r="L3" s="44" t="s">
        <v>48</v>
      </c>
      <c r="M3" s="44">
        <f>-I55</f>
        <v>0</v>
      </c>
      <c r="N3" s="44"/>
      <c r="O3" s="44"/>
      <c r="P3" s="44" t="s">
        <v>35</v>
      </c>
      <c r="Q3" s="44" t="s">
        <v>50</v>
      </c>
      <c r="R3" s="44"/>
      <c r="S3" s="44" t="s">
        <v>35</v>
      </c>
      <c r="T3" s="44"/>
      <c r="U3" s="44" t="s">
        <v>58</v>
      </c>
      <c r="V3" s="43"/>
      <c r="W3" s="43"/>
      <c r="X3" s="48" t="s">
        <v>41</v>
      </c>
      <c r="Y3" s="49" t="s">
        <v>34</v>
      </c>
      <c r="AM3" s="34" t="s">
        <v>46</v>
      </c>
      <c r="AN3" s="34" t="s">
        <v>35</v>
      </c>
      <c r="AO3" s="34" t="s">
        <v>34</v>
      </c>
      <c r="AP3" s="34" t="s">
        <v>35</v>
      </c>
      <c r="AQ3" s="34" t="s">
        <v>34</v>
      </c>
      <c r="AR3" s="34" t="s">
        <v>34</v>
      </c>
      <c r="AS3" s="34"/>
      <c r="AT3" s="34"/>
      <c r="AU3" s="34" t="s">
        <v>48</v>
      </c>
      <c r="AV3" s="34" t="s">
        <v>48</v>
      </c>
      <c r="AW3" s="34" t="s">
        <v>49</v>
      </c>
    </row>
    <row r="4" spans="1:49" ht="24" thickBot="1" x14ac:dyDescent="0.4">
      <c r="B4" s="50" t="s">
        <v>5</v>
      </c>
      <c r="C4" s="51" t="s">
        <v>39</v>
      </c>
      <c r="D4" s="50" t="s">
        <v>0</v>
      </c>
      <c r="E4" s="51" t="s">
        <v>111</v>
      </c>
      <c r="F4" s="51" t="s">
        <v>96</v>
      </c>
      <c r="G4" s="50" t="s">
        <v>33</v>
      </c>
      <c r="H4" s="50" t="s">
        <v>52</v>
      </c>
      <c r="I4" s="50" t="s">
        <v>35</v>
      </c>
      <c r="J4" s="50" t="s">
        <v>34</v>
      </c>
      <c r="K4" s="50" t="s">
        <v>36</v>
      </c>
      <c r="L4" s="51" t="s">
        <v>39</v>
      </c>
      <c r="M4" s="50" t="s">
        <v>0</v>
      </c>
      <c r="N4" s="44"/>
      <c r="O4" s="44"/>
      <c r="P4" s="50" t="s">
        <v>54</v>
      </c>
      <c r="Q4" s="50" t="s">
        <v>55</v>
      </c>
      <c r="R4" s="44"/>
      <c r="S4" s="44" t="s">
        <v>5</v>
      </c>
      <c r="T4" s="44"/>
      <c r="U4" s="52" t="s">
        <v>112</v>
      </c>
      <c r="V4" s="43"/>
      <c r="W4" s="43"/>
      <c r="X4" s="55">
        <v>0.02</v>
      </c>
      <c r="Y4" s="56">
        <f>1000/X4</f>
        <v>50000</v>
      </c>
      <c r="AM4" s="155" t="s">
        <v>35</v>
      </c>
      <c r="AN4" s="155" t="s">
        <v>337</v>
      </c>
      <c r="AO4" s="155" t="s">
        <v>338</v>
      </c>
      <c r="AP4" s="155" t="s">
        <v>339</v>
      </c>
      <c r="AQ4" s="155" t="s">
        <v>340</v>
      </c>
      <c r="AR4" s="155" t="s">
        <v>33</v>
      </c>
      <c r="AS4" s="156" t="s">
        <v>112</v>
      </c>
      <c r="AT4" s="155" t="s">
        <v>0</v>
      </c>
      <c r="AU4" s="156" t="s">
        <v>111</v>
      </c>
      <c r="AV4" s="156" t="s">
        <v>39</v>
      </c>
      <c r="AW4" s="155" t="s">
        <v>34</v>
      </c>
    </row>
    <row r="5" spans="1:49" ht="24" thickBot="1" x14ac:dyDescent="0.4">
      <c r="B5" s="53">
        <f>S5</f>
        <v>0.83183230076684567</v>
      </c>
      <c r="C5" s="54">
        <f>L5</f>
        <v>14.747881203752625</v>
      </c>
      <c r="D5" s="54">
        <f>M5</f>
        <v>0.84418906200790889</v>
      </c>
      <c r="E5" s="54">
        <f>C5*SQRT(1-D5^2)</f>
        <v>7.9055360349567696</v>
      </c>
      <c r="F5" s="54">
        <f>ATAN(P2/Q2)</f>
        <v>0.56574578218314209</v>
      </c>
      <c r="G5" s="54">
        <f>6.28/E5</f>
        <v>0.79438003599389595</v>
      </c>
      <c r="H5" s="54">
        <f>1/G5</f>
        <v>1.2588433176682754</v>
      </c>
      <c r="I5" s="117">
        <v>1</v>
      </c>
      <c r="J5" s="117">
        <v>217.5</v>
      </c>
      <c r="K5" s="117">
        <v>24.9</v>
      </c>
      <c r="L5" s="54">
        <f>(J5/I5)^0.5</f>
        <v>14.747881203752625</v>
      </c>
      <c r="M5" s="54">
        <f>K5/(2*I5*L5)</f>
        <v>0.84418906200790889</v>
      </c>
      <c r="N5" s="54"/>
      <c r="O5" s="54"/>
      <c r="P5" s="117">
        <v>0.44590000000000002</v>
      </c>
      <c r="Q5" s="117">
        <v>0</v>
      </c>
      <c r="R5" s="54"/>
      <c r="S5" s="54">
        <f>(P2^2+(Q2)^2)^0.5</f>
        <v>0.83183230076684567</v>
      </c>
      <c r="T5" s="54"/>
      <c r="U5" s="54">
        <f>M5*L5*G5</f>
        <v>9.8900314481240041</v>
      </c>
      <c r="V5" s="54"/>
      <c r="W5" s="43"/>
      <c r="X5" s="43" t="s">
        <v>107</v>
      </c>
      <c r="Y5" s="43"/>
      <c r="AM5" s="154">
        <v>10</v>
      </c>
      <c r="AN5" s="154">
        <v>0.25</v>
      </c>
      <c r="AO5" s="154">
        <v>1</v>
      </c>
      <c r="AP5" s="154">
        <v>0.2</v>
      </c>
      <c r="AQ5" s="154">
        <v>4</v>
      </c>
      <c r="AR5" s="157">
        <f>AQ5-AO5</f>
        <v>3</v>
      </c>
      <c r="AS5" s="157">
        <f>LN(AN5/AP5)</f>
        <v>0.22314355131420976</v>
      </c>
      <c r="AT5" s="157">
        <f>AS5/(4*3.1415^2+AS5^2)^0.5</f>
        <v>3.5493069168883111E-2</v>
      </c>
      <c r="AU5" s="157">
        <f>6.283/AR5</f>
        <v>2.0943333333333336</v>
      </c>
      <c r="AV5" s="157">
        <f>AU5/(1-AT5^2)^0.5</f>
        <v>2.0956537575683507</v>
      </c>
      <c r="AW5" s="157">
        <f>AV5^2*AM5</f>
        <v>43.917646716103476</v>
      </c>
    </row>
    <row r="7" spans="1:49" ht="18" x14ac:dyDescent="0.25">
      <c r="C7" s="118" t="s">
        <v>322</v>
      </c>
      <c r="D7" s="119">
        <f>D5*C5</f>
        <v>12.45</v>
      </c>
    </row>
    <row r="9" spans="1:49" x14ac:dyDescent="0.2">
      <c r="A9" t="s">
        <v>69</v>
      </c>
      <c r="H9" t="s">
        <v>68</v>
      </c>
    </row>
    <row r="10" spans="1:49" ht="18" x14ac:dyDescent="0.25">
      <c r="A10" s="1" t="s">
        <v>3</v>
      </c>
      <c r="B10" t="s">
        <v>29</v>
      </c>
      <c r="C10" t="s">
        <v>29</v>
      </c>
      <c r="D10" s="7" t="s">
        <v>124</v>
      </c>
      <c r="T10" s="18" t="s">
        <v>80</v>
      </c>
    </row>
    <row r="11" spans="1:49" ht="24" x14ac:dyDescent="0.35">
      <c r="A11">
        <v>0</v>
      </c>
      <c r="B11">
        <f>$B$5*EXP(-$D$5*$C$5*A11)</f>
        <v>0.83183230076684567</v>
      </c>
      <c r="C11">
        <f>(-1)*$B$5*EXP(-$D$5*$C$5*A11)</f>
        <v>-0.83183230076684567</v>
      </c>
      <c r="D11" s="27">
        <f>EXP(-$D$5*$C$5*A11)*($P$2*COS($E$5*A11)+$Q$2*SIN($E$5*A11))</f>
        <v>0.44590000000000002</v>
      </c>
      <c r="I11" s="26" t="s">
        <v>123</v>
      </c>
    </row>
    <row r="12" spans="1:49" x14ac:dyDescent="0.2">
      <c r="A12">
        <v>0.05</v>
      </c>
      <c r="B12">
        <f t="shared" ref="B12:B69" si="0">$B$5*EXP(-$D$5*$C$5*A12)</f>
        <v>0.44636225752012121</v>
      </c>
      <c r="C12">
        <f t="shared" ref="C12:C69" si="1">(-1)*$B$5*EXP(-$D$5*$C$5*A12)</f>
        <v>-0.44636225752012121</v>
      </c>
      <c r="D12" s="27">
        <f t="shared" ref="D12:D75" si="2">EXP(-$D$5*$C$5*A12)*($P$2*COS($E$5*A12)+$Q$2*SIN($E$5*A12))</f>
        <v>0.36591778565293009</v>
      </c>
    </row>
    <row r="13" spans="1:49" x14ac:dyDescent="0.2">
      <c r="A13">
        <v>0.1</v>
      </c>
      <c r="B13">
        <f t="shared" si="0"/>
        <v>0.23951854809531353</v>
      </c>
      <c r="C13">
        <f t="shared" si="1"/>
        <v>-0.23951854809531353</v>
      </c>
      <c r="D13" s="27">
        <f t="shared" si="2"/>
        <v>0.23402964449739225</v>
      </c>
    </row>
    <row r="14" spans="1:49" x14ac:dyDescent="0.2">
      <c r="A14">
        <v>0.15</v>
      </c>
      <c r="B14">
        <f t="shared" si="0"/>
        <v>0.12852595378564449</v>
      </c>
      <c r="C14">
        <f t="shared" si="1"/>
        <v>-0.12852595378564449</v>
      </c>
      <c r="D14" s="27">
        <f t="shared" si="2"/>
        <v>0.1264314659896722</v>
      </c>
    </row>
    <row r="15" spans="1:49" x14ac:dyDescent="0.2">
      <c r="A15">
        <v>0.2</v>
      </c>
      <c r="B15">
        <f t="shared" si="0"/>
        <v>6.8967188252728143E-2</v>
      </c>
      <c r="C15">
        <f t="shared" si="1"/>
        <v>-6.8967188252728143E-2</v>
      </c>
      <c r="D15" s="27">
        <f t="shared" si="2"/>
        <v>5.7837069219497828E-2</v>
      </c>
    </row>
    <row r="16" spans="1:49" x14ac:dyDescent="0.2">
      <c r="A16">
        <v>0.25</v>
      </c>
      <c r="B16">
        <f t="shared" si="0"/>
        <v>3.7007879851411879E-2</v>
      </c>
      <c r="C16">
        <f t="shared" si="1"/>
        <v>-3.7007879851411879E-2</v>
      </c>
      <c r="D16" s="27">
        <f t="shared" si="2"/>
        <v>2.0879811520345799E-2</v>
      </c>
    </row>
    <row r="17" spans="1:8" x14ac:dyDescent="0.2">
      <c r="A17">
        <v>0.3</v>
      </c>
      <c r="B17">
        <f t="shared" si="0"/>
        <v>1.9858474816716352E-2</v>
      </c>
      <c r="C17">
        <f t="shared" si="1"/>
        <v>-1.9858474816716352E-2</v>
      </c>
      <c r="D17" s="27">
        <f t="shared" si="2"/>
        <v>4.0267068420487629E-3</v>
      </c>
    </row>
    <row r="18" spans="1:8" x14ac:dyDescent="0.2">
      <c r="A18">
        <v>0.35</v>
      </c>
      <c r="B18">
        <f t="shared" si="0"/>
        <v>1.0656082532409981E-2</v>
      </c>
      <c r="C18">
        <f t="shared" si="1"/>
        <v>-1.0656082532409981E-2</v>
      </c>
      <c r="D18" s="27">
        <f t="shared" si="2"/>
        <v>-2.0239086315120341E-3</v>
      </c>
    </row>
    <row r="19" spans="1:8" x14ac:dyDescent="0.2">
      <c r="A19">
        <v>0.4</v>
      </c>
      <c r="B19">
        <f t="shared" si="0"/>
        <v>5.7180672728173315E-3</v>
      </c>
      <c r="C19">
        <f t="shared" si="1"/>
        <v>-5.7180672728173315E-3</v>
      </c>
      <c r="D19" s="27">
        <f t="shared" si="2"/>
        <v>-3.1640296403651087E-3</v>
      </c>
    </row>
    <row r="20" spans="1:8" x14ac:dyDescent="0.2">
      <c r="A20">
        <v>0.45</v>
      </c>
      <c r="B20">
        <f t="shared" si="0"/>
        <v>3.0683220814985653E-3</v>
      </c>
      <c r="C20">
        <f t="shared" si="1"/>
        <v>-3.0683220814985653E-3</v>
      </c>
      <c r="D20" s="27">
        <f t="shared" si="2"/>
        <v>-2.551040363499746E-3</v>
      </c>
    </row>
    <row r="21" spans="1:8" x14ac:dyDescent="0.2">
      <c r="A21">
        <v>0.5</v>
      </c>
      <c r="B21">
        <f t="shared" si="0"/>
        <v>1.6464654832878609E-3</v>
      </c>
      <c r="C21">
        <f t="shared" si="1"/>
        <v>-1.6464654832878609E-3</v>
      </c>
      <c r="D21" s="27">
        <f t="shared" si="2"/>
        <v>-1.6156189544632494E-3</v>
      </c>
    </row>
    <row r="22" spans="1:8" x14ac:dyDescent="0.2">
      <c r="A22">
        <v>0.55000000000000004</v>
      </c>
      <c r="B22">
        <f t="shared" si="0"/>
        <v>8.8349544658439206E-4</v>
      </c>
      <c r="C22">
        <f t="shared" si="1"/>
        <v>-8.8349544658439206E-4</v>
      </c>
      <c r="D22" s="27">
        <f t="shared" si="2"/>
        <v>-8.6563749106346956E-4</v>
      </c>
    </row>
    <row r="23" spans="1:8" x14ac:dyDescent="0.2">
      <c r="A23">
        <v>0.6</v>
      </c>
      <c r="B23">
        <f t="shared" si="0"/>
        <v>4.7408476646387457E-4</v>
      </c>
      <c r="C23">
        <f t="shared" si="1"/>
        <v>-4.7408476646387457E-4</v>
      </c>
      <c r="D23" s="27">
        <f t="shared" si="2"/>
        <v>-3.9216602982668967E-4</v>
      </c>
    </row>
    <row r="24" spans="1:8" x14ac:dyDescent="0.2">
      <c r="A24">
        <v>0.65</v>
      </c>
      <c r="B24">
        <f t="shared" si="0"/>
        <v>2.5439448121891049E-4</v>
      </c>
      <c r="C24">
        <f t="shared" si="1"/>
        <v>-2.5439448121891049E-4</v>
      </c>
      <c r="D24" s="27">
        <f t="shared" si="2"/>
        <v>-1.3916756796683032E-4</v>
      </c>
    </row>
    <row r="25" spans="1:8" x14ac:dyDescent="0.2">
      <c r="A25">
        <v>0.7</v>
      </c>
      <c r="B25">
        <f t="shared" si="0"/>
        <v>1.3650839818657228E-4</v>
      </c>
      <c r="C25">
        <f t="shared" si="1"/>
        <v>-1.3650839818657228E-4</v>
      </c>
      <c r="D25" s="27">
        <f t="shared" si="2"/>
        <v>-2.4917580035182607E-5</v>
      </c>
    </row>
    <row r="26" spans="1:8" x14ac:dyDescent="0.2">
      <c r="A26">
        <v>0.75</v>
      </c>
      <c r="B26">
        <f t="shared" si="0"/>
        <v>7.325057794562932E-5</v>
      </c>
      <c r="C26">
        <f t="shared" si="1"/>
        <v>-7.325057794562932E-5</v>
      </c>
      <c r="D26" s="27">
        <f t="shared" si="2"/>
        <v>1.5392471556357528E-5</v>
      </c>
    </row>
    <row r="27" spans="1:8" x14ac:dyDescent="0.2">
      <c r="A27">
        <v>0.8</v>
      </c>
      <c r="B27">
        <f t="shared" si="0"/>
        <v>3.9306352141318308E-5</v>
      </c>
      <c r="C27">
        <f t="shared" si="1"/>
        <v>-3.9306352141318308E-5</v>
      </c>
      <c r="D27" s="27">
        <f t="shared" si="2"/>
        <v>2.2420231460634783E-5</v>
      </c>
    </row>
    <row r="28" spans="1:8" x14ac:dyDescent="0.2">
      <c r="A28">
        <v>0.85</v>
      </c>
      <c r="B28">
        <f t="shared" si="0"/>
        <v>2.1091837934768259E-5</v>
      </c>
      <c r="C28">
        <f t="shared" si="1"/>
        <v>-2.1091837934768259E-5</v>
      </c>
      <c r="D28" s="27">
        <f t="shared" si="2"/>
        <v>1.7773948504181594E-5</v>
      </c>
    </row>
    <row r="29" spans="1:8" x14ac:dyDescent="0.2">
      <c r="A29">
        <v>0.9</v>
      </c>
      <c r="B29">
        <f t="shared" si="0"/>
        <v>1.1317906730879048E-5</v>
      </c>
      <c r="C29">
        <f t="shared" si="1"/>
        <v>-1.1317906730879048E-5</v>
      </c>
      <c r="D29" s="27">
        <f t="shared" si="2"/>
        <v>1.1148467826311643E-5</v>
      </c>
    </row>
    <row r="30" spans="1:8" x14ac:dyDescent="0.2">
      <c r="A30">
        <v>0.95</v>
      </c>
      <c r="B30">
        <f t="shared" si="0"/>
        <v>6.0732029690842076E-6</v>
      </c>
      <c r="C30">
        <f t="shared" si="1"/>
        <v>-6.0732029690842076E-6</v>
      </c>
      <c r="D30" s="27">
        <f t="shared" si="2"/>
        <v>5.9241294619917915E-6</v>
      </c>
    </row>
    <row r="31" spans="1:8" x14ac:dyDescent="0.2">
      <c r="A31">
        <v>1</v>
      </c>
      <c r="B31">
        <f t="shared" si="0"/>
        <v>3.2588883422286732E-6</v>
      </c>
      <c r="C31">
        <f t="shared" si="1"/>
        <v>-3.2588883422286732E-6</v>
      </c>
      <c r="D31" s="27">
        <f t="shared" si="2"/>
        <v>2.6574415224309388E-6</v>
      </c>
    </row>
    <row r="32" spans="1:8" x14ac:dyDescent="0.2">
      <c r="A32">
        <v>1.05</v>
      </c>
      <c r="B32">
        <f t="shared" si="0"/>
        <v>1.7487235781805951E-6</v>
      </c>
      <c r="C32">
        <f t="shared" si="1"/>
        <v>-1.7487235781805951E-6</v>
      </c>
      <c r="D32" s="27">
        <f t="shared" si="2"/>
        <v>9.2625810769553539E-7</v>
      </c>
      <c r="H32" t="s">
        <v>70</v>
      </c>
    </row>
    <row r="33" spans="1:4" x14ac:dyDescent="0.2">
      <c r="A33">
        <v>1.1000000000000001</v>
      </c>
      <c r="B33">
        <f t="shared" si="0"/>
        <v>9.3836726875810364E-7</v>
      </c>
      <c r="C33">
        <f t="shared" si="1"/>
        <v>-9.3836726875810364E-7</v>
      </c>
      <c r="D33" s="27">
        <f t="shared" si="2"/>
        <v>1.5222425478519607E-7</v>
      </c>
    </row>
    <row r="34" spans="1:4" x14ac:dyDescent="0.2">
      <c r="A34">
        <v>1.1499999999999999</v>
      </c>
      <c r="B34">
        <f t="shared" si="0"/>
        <v>5.035290551710119E-7</v>
      </c>
      <c r="C34">
        <f t="shared" si="1"/>
        <v>-5.035290551710119E-7</v>
      </c>
      <c r="D34" s="27">
        <f t="shared" si="2"/>
        <v>-1.1593741009923681E-7</v>
      </c>
    </row>
    <row r="35" spans="1:4" x14ac:dyDescent="0.2">
      <c r="A35">
        <v>1.2</v>
      </c>
      <c r="B35">
        <f t="shared" si="0"/>
        <v>2.7019432352639966E-7</v>
      </c>
      <c r="C35">
        <f t="shared" si="1"/>
        <v>-2.7019432352639966E-7</v>
      </c>
      <c r="D35" s="27">
        <f t="shared" si="2"/>
        <v>-1.5866155232783511E-7</v>
      </c>
    </row>
    <row r="36" spans="1:4" x14ac:dyDescent="0.2">
      <c r="A36">
        <v>1.25</v>
      </c>
      <c r="B36">
        <f t="shared" si="0"/>
        <v>1.4498661341616949E-7</v>
      </c>
      <c r="C36">
        <f t="shared" si="1"/>
        <v>-1.4498661341616949E-7</v>
      </c>
      <c r="D36" s="27">
        <f t="shared" si="2"/>
        <v>-1.2376287515449745E-7</v>
      </c>
    </row>
    <row r="37" spans="1:4" x14ac:dyDescent="0.2">
      <c r="A37">
        <v>1.3</v>
      </c>
      <c r="B37">
        <f t="shared" si="0"/>
        <v>7.779999888797058E-8</v>
      </c>
      <c r="C37">
        <f t="shared" si="1"/>
        <v>-7.779999888797058E-8</v>
      </c>
      <c r="D37" s="27">
        <f t="shared" si="2"/>
        <v>-7.6895525984836168E-8</v>
      </c>
    </row>
    <row r="38" spans="1:4" x14ac:dyDescent="0.2">
      <c r="A38">
        <v>1.35</v>
      </c>
      <c r="B38">
        <f t="shared" si="0"/>
        <v>4.1747577133856721E-8</v>
      </c>
      <c r="C38">
        <f t="shared" si="1"/>
        <v>-4.1747577133856721E-8</v>
      </c>
      <c r="D38" s="27">
        <f t="shared" si="2"/>
        <v>-4.0524616107878616E-8</v>
      </c>
    </row>
    <row r="39" spans="1:4" x14ac:dyDescent="0.2">
      <c r="A39">
        <v>1.4</v>
      </c>
      <c r="B39">
        <f t="shared" si="0"/>
        <v>2.2401802332375223E-8</v>
      </c>
      <c r="C39">
        <f t="shared" si="1"/>
        <v>-2.2401802332375223E-8</v>
      </c>
      <c r="D39" s="27">
        <f t="shared" si="2"/>
        <v>-1.7996152570531611E-8</v>
      </c>
    </row>
    <row r="40" spans="1:4" x14ac:dyDescent="0.2">
      <c r="A40">
        <v>1.45</v>
      </c>
      <c r="B40">
        <f t="shared" si="0"/>
        <v>1.2020835272182114E-8</v>
      </c>
      <c r="C40">
        <f t="shared" si="1"/>
        <v>-1.2020835272182114E-8</v>
      </c>
      <c r="D40" s="27">
        <f t="shared" si="2"/>
        <v>-6.1555564165091096E-9</v>
      </c>
    </row>
    <row r="41" spans="1:4" x14ac:dyDescent="0.2">
      <c r="A41">
        <v>1.5</v>
      </c>
      <c r="B41">
        <f t="shared" si="0"/>
        <v>6.4503953073501227E-9</v>
      </c>
      <c r="C41">
        <f t="shared" si="1"/>
        <v>-6.4503953073501227E-9</v>
      </c>
      <c r="D41" s="27">
        <f t="shared" si="2"/>
        <v>-9.1492929530304736E-10</v>
      </c>
    </row>
    <row r="42" spans="1:4" x14ac:dyDescent="0.2">
      <c r="A42">
        <v>1.55</v>
      </c>
      <c r="B42">
        <f t="shared" si="0"/>
        <v>3.4612902247625096E-9</v>
      </c>
      <c r="C42">
        <f t="shared" si="1"/>
        <v>-3.4612902247625096E-9</v>
      </c>
      <c r="D42" s="27">
        <f t="shared" si="2"/>
        <v>8.6624672279022181E-10</v>
      </c>
    </row>
    <row r="43" spans="1:4" x14ac:dyDescent="0.2">
      <c r="A43">
        <v>1.6</v>
      </c>
      <c r="B43">
        <f t="shared" si="0"/>
        <v>1.8573326826008448E-9</v>
      </c>
      <c r="C43">
        <f t="shared" si="1"/>
        <v>-1.8573326826008448E-9</v>
      </c>
      <c r="D43" s="27">
        <f t="shared" si="2"/>
        <v>1.1214178032059452E-9</v>
      </c>
    </row>
    <row r="44" spans="1:4" x14ac:dyDescent="0.2">
      <c r="A44">
        <v>1.65</v>
      </c>
      <c r="B44">
        <f t="shared" si="0"/>
        <v>9.9664705062227759E-10</v>
      </c>
      <c r="C44">
        <f t="shared" si="1"/>
        <v>-9.9664705062227759E-10</v>
      </c>
      <c r="D44" s="27">
        <f t="shared" si="2"/>
        <v>8.6127801891454911E-10</v>
      </c>
    </row>
    <row r="45" spans="1:4" x14ac:dyDescent="0.2">
      <c r="A45">
        <v>1.7</v>
      </c>
      <c r="B45">
        <f t="shared" si="0"/>
        <v>5.348020593290484E-10</v>
      </c>
      <c r="C45">
        <f t="shared" si="1"/>
        <v>-5.348020593290484E-10</v>
      </c>
      <c r="D45" s="27">
        <f t="shared" si="2"/>
        <v>5.3014892816665846E-10</v>
      </c>
    </row>
    <row r="46" spans="1:4" x14ac:dyDescent="0.2">
      <c r="A46">
        <v>1.75</v>
      </c>
      <c r="B46">
        <f t="shared" si="0"/>
        <v>2.8697545684203206E-10</v>
      </c>
      <c r="C46">
        <f t="shared" si="1"/>
        <v>-2.8697545684203206E-10</v>
      </c>
      <c r="D46" s="27">
        <f t="shared" si="2"/>
        <v>2.7708770761622942E-10</v>
      </c>
    </row>
    <row r="47" spans="1:4" x14ac:dyDescent="0.2">
      <c r="A47">
        <v>1.8</v>
      </c>
      <c r="B47">
        <f t="shared" si="0"/>
        <v>1.539913906334121E-10</v>
      </c>
      <c r="C47">
        <f t="shared" si="1"/>
        <v>-1.539913906334121E-10</v>
      </c>
      <c r="D47" s="27">
        <f t="shared" si="2"/>
        <v>1.2178936904843113E-10</v>
      </c>
    </row>
    <row r="48" spans="1:4" x14ac:dyDescent="0.2">
      <c r="A48">
        <v>1.85</v>
      </c>
      <c r="B48">
        <f t="shared" si="0"/>
        <v>8.2631973654337306E-11</v>
      </c>
      <c r="C48">
        <f t="shared" si="1"/>
        <v>-8.2631973654337306E-11</v>
      </c>
      <c r="D48" s="27">
        <f t="shared" si="2"/>
        <v>4.084113634369761E-11</v>
      </c>
    </row>
    <row r="49" spans="1:4" x14ac:dyDescent="0.2">
      <c r="A49">
        <v>1.9</v>
      </c>
      <c r="B49">
        <f t="shared" si="0"/>
        <v>4.4340420863304982E-11</v>
      </c>
      <c r="C49">
        <f t="shared" si="1"/>
        <v>-4.4340420863304982E-11</v>
      </c>
      <c r="D49" s="27">
        <f t="shared" si="2"/>
        <v>5.3828754261912483E-12</v>
      </c>
    </row>
    <row r="50" spans="1:4" x14ac:dyDescent="0.2">
      <c r="A50">
        <v>1.95</v>
      </c>
      <c r="B50">
        <f t="shared" si="0"/>
        <v>2.3793125534667825E-11</v>
      </c>
      <c r="C50">
        <f t="shared" si="1"/>
        <v>-2.3793125534667825E-11</v>
      </c>
      <c r="D50" s="27">
        <f t="shared" si="2"/>
        <v>-6.4283763281513623E-12</v>
      </c>
    </row>
    <row r="51" spans="1:4" x14ac:dyDescent="0.2">
      <c r="A51">
        <v>2</v>
      </c>
      <c r="B51">
        <f t="shared" si="0"/>
        <v>1.2767421050280578E-11</v>
      </c>
      <c r="C51">
        <f t="shared" si="1"/>
        <v>-1.2767421050280578E-11</v>
      </c>
      <c r="D51" s="27">
        <f t="shared" si="2"/>
        <v>-7.9169217512842936E-12</v>
      </c>
    </row>
    <row r="52" spans="1:4" x14ac:dyDescent="0.2">
      <c r="A52">
        <v>2.0499999999999998</v>
      </c>
      <c r="B52">
        <f t="shared" si="0"/>
        <v>6.8510141737216658E-12</v>
      </c>
      <c r="C52">
        <f t="shared" si="1"/>
        <v>-6.8510141737216658E-12</v>
      </c>
      <c r="D52" s="27">
        <f t="shared" si="2"/>
        <v>-5.9903058551438612E-12</v>
      </c>
    </row>
    <row r="53" spans="1:4" x14ac:dyDescent="0.2">
      <c r="A53">
        <v>2.1</v>
      </c>
      <c r="B53">
        <f t="shared" si="0"/>
        <v>3.6762628117056985E-12</v>
      </c>
      <c r="C53">
        <f t="shared" si="1"/>
        <v>-3.6762628117056985E-12</v>
      </c>
      <c r="D53" s="27">
        <f t="shared" si="2"/>
        <v>-3.6534801023127356E-12</v>
      </c>
    </row>
    <row r="54" spans="1:4" x14ac:dyDescent="0.2">
      <c r="A54">
        <v>2.15</v>
      </c>
      <c r="B54">
        <f t="shared" si="0"/>
        <v>1.9726872427981934E-12</v>
      </c>
      <c r="C54">
        <f t="shared" si="1"/>
        <v>-1.9726872427981934E-12</v>
      </c>
      <c r="D54" s="27">
        <f t="shared" si="2"/>
        <v>-1.8937275178273845E-12</v>
      </c>
    </row>
    <row r="55" spans="1:4" x14ac:dyDescent="0.2">
      <c r="A55">
        <v>2.2000000000000002</v>
      </c>
      <c r="B55">
        <f t="shared" si="0"/>
        <v>1.0585464525299167E-12</v>
      </c>
      <c r="C55">
        <f t="shared" si="1"/>
        <v>-1.0585464525299167E-12</v>
      </c>
      <c r="D55" s="27">
        <f t="shared" si="2"/>
        <v>-8.2365202879185327E-13</v>
      </c>
    </row>
    <row r="56" spans="1:4" x14ac:dyDescent="0.2">
      <c r="A56">
        <v>2.25</v>
      </c>
      <c r="B56">
        <f t="shared" si="0"/>
        <v>5.6801735614929654E-13</v>
      </c>
      <c r="C56">
        <f t="shared" si="1"/>
        <v>-5.6801735614929654E-13</v>
      </c>
      <c r="D56" s="27">
        <f t="shared" si="2"/>
        <v>-2.705027853914883E-13</v>
      </c>
    </row>
    <row r="57" spans="1:4" x14ac:dyDescent="0.2">
      <c r="A57">
        <v>2.2999999999999998</v>
      </c>
      <c r="B57">
        <f t="shared" si="0"/>
        <v>3.047988268400714E-13</v>
      </c>
      <c r="C57">
        <f t="shared" si="1"/>
        <v>-3.047988268400714E-13</v>
      </c>
      <c r="D57" s="27">
        <f t="shared" si="2"/>
        <v>-3.0755797450942131E-14</v>
      </c>
    </row>
    <row r="58" spans="1:4" x14ac:dyDescent="0.2">
      <c r="A58">
        <v>2.35</v>
      </c>
      <c r="B58">
        <f t="shared" si="0"/>
        <v>1.6355543336366742E-13</v>
      </c>
      <c r="C58">
        <f t="shared" si="1"/>
        <v>-1.6355543336366742E-13</v>
      </c>
      <c r="D58" s="27">
        <f t="shared" si="2"/>
        <v>4.7426803262706472E-14</v>
      </c>
    </row>
    <row r="59" spans="1:4" x14ac:dyDescent="0.2">
      <c r="A59">
        <v>2.4</v>
      </c>
      <c r="B59">
        <f t="shared" si="0"/>
        <v>8.7764050997523462E-14</v>
      </c>
      <c r="C59">
        <f t="shared" si="1"/>
        <v>-8.7764050997523462E-14</v>
      </c>
      <c r="D59" s="27">
        <f t="shared" si="2"/>
        <v>5.5829629044113769E-14</v>
      </c>
    </row>
    <row r="60" spans="1:4" x14ac:dyDescent="0.2">
      <c r="A60">
        <v>2.4500000000000002</v>
      </c>
      <c r="B60">
        <f t="shared" si="0"/>
        <v>4.7094300012456038E-14</v>
      </c>
      <c r="C60">
        <f t="shared" si="1"/>
        <v>-4.7094300012456038E-14</v>
      </c>
      <c r="D60" s="27">
        <f t="shared" si="2"/>
        <v>4.1640220984499967E-14</v>
      </c>
    </row>
    <row r="61" spans="1:4" x14ac:dyDescent="0.2">
      <c r="A61">
        <v>2.5</v>
      </c>
      <c r="B61">
        <f t="shared" si="0"/>
        <v>2.5270860545462021E-14</v>
      </c>
      <c r="C61">
        <f t="shared" si="1"/>
        <v>-2.5270860545462021E-14</v>
      </c>
      <c r="D61" s="27">
        <f t="shared" si="2"/>
        <v>2.5166834552354099E-14</v>
      </c>
    </row>
    <row r="62" spans="1:4" x14ac:dyDescent="0.2">
      <c r="A62">
        <v>2.5499999999999998</v>
      </c>
      <c r="B62">
        <f t="shared" si="0"/>
        <v>1.3560375513369619E-14</v>
      </c>
      <c r="C62">
        <f t="shared" si="1"/>
        <v>-1.3560375513369619E-14</v>
      </c>
      <c r="D62" s="27">
        <f t="shared" si="2"/>
        <v>1.2936514909690518E-14</v>
      </c>
    </row>
    <row r="63" spans="1:4" x14ac:dyDescent="0.2">
      <c r="A63">
        <v>2.6</v>
      </c>
      <c r="B63">
        <f t="shared" si="0"/>
        <v>7.2765145347064068E-15</v>
      </c>
      <c r="C63">
        <f t="shared" si="1"/>
        <v>-7.2765145347064068E-15</v>
      </c>
      <c r="D63" s="27">
        <f t="shared" si="2"/>
        <v>5.5663825844967532E-15</v>
      </c>
    </row>
    <row r="64" spans="1:4" x14ac:dyDescent="0.2">
      <c r="A64">
        <v>2.65</v>
      </c>
      <c r="B64">
        <f t="shared" si="0"/>
        <v>3.9045868399138907E-15</v>
      </c>
      <c r="C64">
        <f t="shared" si="1"/>
        <v>-3.9045868399138907E-15</v>
      </c>
      <c r="D64" s="27">
        <f t="shared" si="2"/>
        <v>1.7882599847004786E-15</v>
      </c>
    </row>
    <row r="65" spans="1:4" x14ac:dyDescent="0.2">
      <c r="A65">
        <v>2.7</v>
      </c>
      <c r="B65">
        <f t="shared" si="0"/>
        <v>2.0952062031501021E-15</v>
      </c>
      <c r="C65">
        <f t="shared" si="1"/>
        <v>-2.0952062031501021E-15</v>
      </c>
      <c r="D65" s="27">
        <f t="shared" si="2"/>
        <v>1.6838905620266956E-16</v>
      </c>
    </row>
    <row r="66" spans="1:4" x14ac:dyDescent="0.2">
      <c r="A66">
        <v>2.75</v>
      </c>
      <c r="B66">
        <f t="shared" si="0"/>
        <v>1.1242902805602631E-15</v>
      </c>
      <c r="C66">
        <f t="shared" si="1"/>
        <v>-1.1242902805602631E-15</v>
      </c>
      <c r="D66" s="27">
        <f t="shared" si="2"/>
        <v>-3.4813262006318058E-16</v>
      </c>
    </row>
    <row r="67" spans="1:4" x14ac:dyDescent="0.2">
      <c r="A67">
        <v>2.8</v>
      </c>
      <c r="B67">
        <f t="shared" si="0"/>
        <v>6.0329557685626945E-16</v>
      </c>
      <c r="C67">
        <f t="shared" si="1"/>
        <v>-6.0329557685626945E-16</v>
      </c>
      <c r="D67" s="27">
        <f t="shared" si="2"/>
        <v>-3.9329331362296403E-16</v>
      </c>
    </row>
    <row r="68" spans="1:4" x14ac:dyDescent="0.2">
      <c r="A68">
        <v>2.85</v>
      </c>
      <c r="B68">
        <f t="shared" si="0"/>
        <v>3.2372916438711916E-16</v>
      </c>
      <c r="C68">
        <f t="shared" si="1"/>
        <v>-3.2372916438711916E-16</v>
      </c>
      <c r="D68" s="27">
        <f t="shared" si="2"/>
        <v>-2.8929490633209357E-16</v>
      </c>
    </row>
    <row r="69" spans="1:4" x14ac:dyDescent="0.2">
      <c r="A69">
        <v>2.9</v>
      </c>
      <c r="B69">
        <f t="shared" si="0"/>
        <v>1.7371347627127033E-16</v>
      </c>
      <c r="C69">
        <f t="shared" si="1"/>
        <v>-1.7371347627127033E-16</v>
      </c>
      <c r="D69" s="27">
        <f t="shared" si="2"/>
        <v>-1.7328629308443803E-16</v>
      </c>
    </row>
    <row r="70" spans="1:4" x14ac:dyDescent="0.2">
      <c r="A70">
        <v>2.95</v>
      </c>
      <c r="B70">
        <f t="shared" ref="B70:B133" si="3">$B$5*EXP(-$D$5*$C$5*A70)</f>
        <v>9.3214869582042758E-17</v>
      </c>
      <c r="C70">
        <f t="shared" ref="C70:C133" si="4">(-1)*$B$5*EXP(-$D$5*$C$5*A70)</f>
        <v>-9.3214869582042758E-17</v>
      </c>
      <c r="D70" s="27">
        <f t="shared" si="2"/>
        <v>-8.8331203750992883E-17</v>
      </c>
    </row>
    <row r="71" spans="1:4" x14ac:dyDescent="0.2">
      <c r="A71">
        <v>3</v>
      </c>
      <c r="B71">
        <f t="shared" si="3"/>
        <v>5.0019216112102722E-17</v>
      </c>
      <c r="C71">
        <f t="shared" si="4"/>
        <v>-5.0019216112102722E-17</v>
      </c>
      <c r="D71" s="27">
        <f t="shared" si="2"/>
        <v>-3.7591240987079294E-17</v>
      </c>
    </row>
    <row r="72" spans="1:4" x14ac:dyDescent="0.2">
      <c r="A72">
        <v>3.05</v>
      </c>
      <c r="B72">
        <f t="shared" si="3"/>
        <v>2.684037419874477E-17</v>
      </c>
      <c r="C72">
        <f t="shared" si="4"/>
        <v>-2.684037419874477E-17</v>
      </c>
      <c r="D72" s="27">
        <f t="shared" si="2"/>
        <v>-1.1797997956777347E-17</v>
      </c>
    </row>
    <row r="73" spans="1:4" x14ac:dyDescent="0.2">
      <c r="A73">
        <v>3.1</v>
      </c>
      <c r="B73">
        <f t="shared" si="3"/>
        <v>1.4402578511308046E-17</v>
      </c>
      <c r="C73">
        <f t="shared" si="4"/>
        <v>-1.4402578511308046E-17</v>
      </c>
      <c r="D73" s="27">
        <f t="shared" si="2"/>
        <v>-8.6124600916114788E-19</v>
      </c>
    </row>
    <row r="74" spans="1:4" x14ac:dyDescent="0.2">
      <c r="A74">
        <v>3.15</v>
      </c>
      <c r="B74">
        <f t="shared" si="3"/>
        <v>7.7284417213562838E-18</v>
      </c>
      <c r="C74">
        <f t="shared" si="4"/>
        <v>-7.7284417213562838E-18</v>
      </c>
      <c r="D74" s="27">
        <f t="shared" si="2"/>
        <v>2.5441069609760574E-18</v>
      </c>
    </row>
    <row r="75" spans="1:4" x14ac:dyDescent="0.2">
      <c r="A75">
        <v>3.2</v>
      </c>
      <c r="B75">
        <f t="shared" si="3"/>
        <v>4.1470915359707372E-18</v>
      </c>
      <c r="C75">
        <f t="shared" si="4"/>
        <v>-4.1470915359707372E-18</v>
      </c>
      <c r="D75" s="27">
        <f t="shared" si="2"/>
        <v>2.7677933066265538E-18</v>
      </c>
    </row>
    <row r="76" spans="1:4" x14ac:dyDescent="0.2">
      <c r="A76">
        <v>3.25</v>
      </c>
      <c r="B76">
        <f t="shared" si="3"/>
        <v>2.2253345276830517E-18</v>
      </c>
      <c r="C76">
        <f t="shared" si="4"/>
        <v>-2.2253345276830517E-18</v>
      </c>
      <c r="D76" s="27">
        <f t="shared" ref="D76:D139" si="5">EXP(-$D$5*$C$5*A76)*($P$2*COS($E$5*A76)+$Q$2*SIN($E$5*A76))</f>
        <v>2.0088025469654141E-18</v>
      </c>
    </row>
    <row r="77" spans="1:4" x14ac:dyDescent="0.2">
      <c r="A77">
        <v>3.3</v>
      </c>
      <c r="B77">
        <f t="shared" si="3"/>
        <v>1.1941173029688568E-18</v>
      </c>
      <c r="C77">
        <f t="shared" si="4"/>
        <v>-1.1941173029688568E-18</v>
      </c>
      <c r="D77" s="27">
        <f t="shared" si="5"/>
        <v>1.1926533078309553E-18</v>
      </c>
    </row>
    <row r="78" spans="1:4" x14ac:dyDescent="0.2">
      <c r="A78">
        <v>3.35</v>
      </c>
      <c r="B78">
        <f t="shared" si="3"/>
        <v>6.4076484479581835E-19</v>
      </c>
      <c r="C78">
        <f t="shared" si="4"/>
        <v>-6.4076484479581835E-19</v>
      </c>
      <c r="D78" s="27">
        <f t="shared" si="5"/>
        <v>6.0284451192172401E-19</v>
      </c>
    </row>
    <row r="79" spans="1:4" x14ac:dyDescent="0.2">
      <c r="A79">
        <v>3.4</v>
      </c>
      <c r="B79">
        <f t="shared" si="3"/>
        <v>3.4383522063151718E-19</v>
      </c>
      <c r="C79">
        <f t="shared" si="4"/>
        <v>-3.4383522063151718E-19</v>
      </c>
      <c r="D79" s="27">
        <f t="shared" si="5"/>
        <v>2.5367239288433756E-19</v>
      </c>
    </row>
    <row r="80" spans="1:4" x14ac:dyDescent="0.2">
      <c r="A80">
        <v>3.45</v>
      </c>
      <c r="B80">
        <f t="shared" si="3"/>
        <v>1.8450241130877912E-19</v>
      </c>
      <c r="C80">
        <f t="shared" si="4"/>
        <v>-1.8450241130877912E-19</v>
      </c>
      <c r="D80" s="27">
        <f t="shared" si="5"/>
        <v>7.7665687784935376E-20</v>
      </c>
    </row>
    <row r="81" spans="1:4" x14ac:dyDescent="0.2">
      <c r="A81">
        <v>3.5</v>
      </c>
      <c r="B81">
        <f t="shared" si="3"/>
        <v>9.9004225675983079E-20</v>
      </c>
      <c r="C81">
        <f t="shared" si="4"/>
        <v>-9.9004225675983079E-20</v>
      </c>
      <c r="D81" s="27">
        <f t="shared" si="5"/>
        <v>3.8811567208809016E-21</v>
      </c>
    </row>
    <row r="82" spans="1:4" x14ac:dyDescent="0.2">
      <c r="A82">
        <v>3.55</v>
      </c>
      <c r="B82">
        <f t="shared" si="3"/>
        <v>5.3125791864566905E-20</v>
      </c>
      <c r="C82">
        <f t="shared" si="4"/>
        <v>-5.3125791864566905E-20</v>
      </c>
      <c r="D82" s="27">
        <f t="shared" si="5"/>
        <v>-1.8519045221234643E-20</v>
      </c>
    </row>
    <row r="83" spans="1:4" x14ac:dyDescent="0.2">
      <c r="A83">
        <v>3.6</v>
      </c>
      <c r="B83">
        <f t="shared" si="3"/>
        <v>2.8507366649926156E-20</v>
      </c>
      <c r="C83">
        <f t="shared" si="4"/>
        <v>-2.8507366649926156E-20</v>
      </c>
      <c r="D83" s="27">
        <f t="shared" si="5"/>
        <v>-1.9459692888968429E-20</v>
      </c>
    </row>
    <row r="84" spans="1:4" x14ac:dyDescent="0.2">
      <c r="A84">
        <v>3.65</v>
      </c>
      <c r="B84">
        <f t="shared" si="3"/>
        <v>1.5297088754649718E-20</v>
      </c>
      <c r="C84">
        <f t="shared" si="4"/>
        <v>-1.5297088754649718E-20</v>
      </c>
      <c r="D84" s="27">
        <f t="shared" si="5"/>
        <v>-1.3941420888750317E-20</v>
      </c>
    </row>
    <row r="85" spans="1:4" x14ac:dyDescent="0.2">
      <c r="A85">
        <v>3.7</v>
      </c>
      <c r="B85">
        <f t="shared" si="3"/>
        <v>8.2084370415965934E-21</v>
      </c>
      <c r="C85">
        <f t="shared" si="4"/>
        <v>-8.2084370415965934E-21</v>
      </c>
      <c r="D85" s="27">
        <f t="shared" si="5"/>
        <v>-8.2050091354820074E-21</v>
      </c>
    </row>
    <row r="86" spans="1:4" x14ac:dyDescent="0.2">
      <c r="A86">
        <v>3.75</v>
      </c>
      <c r="B86">
        <f t="shared" si="3"/>
        <v>4.4046576277708132E-21</v>
      </c>
      <c r="C86">
        <f t="shared" si="4"/>
        <v>-4.4046576277708132E-21</v>
      </c>
      <c r="D86" s="27">
        <f t="shared" si="5"/>
        <v>-4.1123285207695412E-21</v>
      </c>
    </row>
    <row r="87" spans="1:4" x14ac:dyDescent="0.2">
      <c r="A87">
        <v>3.8</v>
      </c>
      <c r="B87">
        <f t="shared" si="3"/>
        <v>2.3635448160915823E-21</v>
      </c>
      <c r="C87">
        <f t="shared" si="4"/>
        <v>-2.3635448160915823E-21</v>
      </c>
      <c r="D87" s="27">
        <f t="shared" si="5"/>
        <v>-1.7104892878233616E-21</v>
      </c>
    </row>
    <row r="88" spans="1:4" x14ac:dyDescent="0.2">
      <c r="A88">
        <v>3.85</v>
      </c>
      <c r="B88">
        <f t="shared" si="3"/>
        <v>1.2682811173454555E-21</v>
      </c>
      <c r="C88">
        <f t="shared" si="4"/>
        <v>-1.2682811173454555E-21</v>
      </c>
      <c r="D88" s="27">
        <f t="shared" si="5"/>
        <v>-5.1004288185496951E-22</v>
      </c>
    </row>
    <row r="89" spans="1:4" x14ac:dyDescent="0.2">
      <c r="A89">
        <v>3.9</v>
      </c>
      <c r="B89">
        <f t="shared" si="3"/>
        <v>6.8056124075318635E-22</v>
      </c>
      <c r="C89">
        <f t="shared" si="4"/>
        <v>-6.8056124075318635E-22</v>
      </c>
      <c r="D89" s="27">
        <f t="shared" si="5"/>
        <v>-1.2651052686344102E-23</v>
      </c>
    </row>
    <row r="90" spans="1:4" x14ac:dyDescent="0.2">
      <c r="A90">
        <v>3.95</v>
      </c>
      <c r="B90">
        <f t="shared" si="3"/>
        <v>3.6519001669355682E-22</v>
      </c>
      <c r="C90">
        <f t="shared" si="4"/>
        <v>-3.6519001669355682E-22</v>
      </c>
      <c r="D90" s="27">
        <f t="shared" si="5"/>
        <v>1.3433200226090619E-22</v>
      </c>
    </row>
    <row r="91" spans="1:4" x14ac:dyDescent="0.2">
      <c r="A91">
        <v>4</v>
      </c>
      <c r="B91">
        <f t="shared" si="3"/>
        <v>1.9596142170107536E-22</v>
      </c>
      <c r="C91">
        <f t="shared" si="4"/>
        <v>-1.9596142170107536E-22</v>
      </c>
      <c r="D91" s="27">
        <f t="shared" si="5"/>
        <v>1.3669160259379705E-22</v>
      </c>
    </row>
    <row r="92" spans="1:4" x14ac:dyDescent="0.2">
      <c r="A92">
        <v>4.05</v>
      </c>
      <c r="B92">
        <f t="shared" si="3"/>
        <v>1.0515314504703493E-22</v>
      </c>
      <c r="C92">
        <f t="shared" si="4"/>
        <v>-1.0515314504703493E-22</v>
      </c>
      <c r="D92" s="27">
        <f t="shared" si="5"/>
        <v>9.6706229422252253E-23</v>
      </c>
    </row>
    <row r="93" spans="1:4" x14ac:dyDescent="0.2">
      <c r="A93">
        <v>4.0999999999999996</v>
      </c>
      <c r="B93">
        <f t="shared" si="3"/>
        <v>5.6425309723204611E-23</v>
      </c>
      <c r="C93">
        <f t="shared" si="4"/>
        <v>-5.6425309723204611E-23</v>
      </c>
      <c r="D93" s="27">
        <f t="shared" si="5"/>
        <v>5.6423375829429442E-23</v>
      </c>
    </row>
    <row r="94" spans="1:4" x14ac:dyDescent="0.2">
      <c r="A94">
        <v>4.1500000000000004</v>
      </c>
      <c r="B94">
        <f t="shared" si="3"/>
        <v>3.0277892077649491E-23</v>
      </c>
      <c r="C94">
        <f t="shared" si="4"/>
        <v>-3.0277892077649491E-23</v>
      </c>
      <c r="D94" s="27">
        <f t="shared" si="5"/>
        <v>2.8038733509344225E-23</v>
      </c>
    </row>
    <row r="95" spans="1:4" x14ac:dyDescent="0.2">
      <c r="A95">
        <v>4.2</v>
      </c>
      <c r="B95">
        <f t="shared" si="3"/>
        <v>1.6247154923259444E-23</v>
      </c>
      <c r="C95">
        <f t="shared" si="4"/>
        <v>-1.6247154923259444E-23</v>
      </c>
      <c r="D95" s="27">
        <f t="shared" si="5"/>
        <v>1.1524306115100945E-23</v>
      </c>
    </row>
    <row r="96" spans="1:4" x14ac:dyDescent="0.2">
      <c r="A96">
        <v>4.25</v>
      </c>
      <c r="B96">
        <f t="shared" si="3"/>
        <v>8.7182437411239332E-24</v>
      </c>
      <c r="C96">
        <f t="shared" si="4"/>
        <v>-8.7182437411239332E-24</v>
      </c>
      <c r="D96" s="27">
        <f t="shared" si="5"/>
        <v>3.3407261825812045E-24</v>
      </c>
    </row>
    <row r="97" spans="1:4" x14ac:dyDescent="0.2">
      <c r="A97">
        <v>4.3</v>
      </c>
      <c r="B97">
        <f t="shared" si="3"/>
        <v>4.6782205431446513E-24</v>
      </c>
      <c r="C97">
        <f t="shared" si="4"/>
        <v>-4.6782205431446513E-24</v>
      </c>
      <c r="D97" s="27">
        <f t="shared" si="5"/>
        <v>-9.5039997040005482E-27</v>
      </c>
    </row>
    <row r="98" spans="1:4" x14ac:dyDescent="0.2">
      <c r="A98">
        <v>4.3499999999999996</v>
      </c>
      <c r="B98">
        <f t="shared" si="3"/>
        <v>2.510339020124636E-24</v>
      </c>
      <c r="C98">
        <f t="shared" si="4"/>
        <v>-2.510339020124636E-24</v>
      </c>
      <c r="D98" s="27">
        <f t="shared" si="5"/>
        <v>-9.7134494719687558E-25</v>
      </c>
    </row>
    <row r="99" spans="1:4" x14ac:dyDescent="0.2">
      <c r="A99">
        <v>4.4000000000000004</v>
      </c>
      <c r="B99">
        <f t="shared" si="3"/>
        <v>1.3470510716290902E-24</v>
      </c>
      <c r="C99">
        <f t="shared" si="4"/>
        <v>-1.3470510716290902E-24</v>
      </c>
      <c r="D99" s="27">
        <f t="shared" si="5"/>
        <v>-9.5932995439938279E-25</v>
      </c>
    </row>
    <row r="100" spans="1:4" x14ac:dyDescent="0.2">
      <c r="A100">
        <v>4.45</v>
      </c>
      <c r="B100">
        <f t="shared" si="3"/>
        <v>7.2282929717079234E-25</v>
      </c>
      <c r="C100">
        <f t="shared" si="4"/>
        <v>-7.2282929717079234E-25</v>
      </c>
      <c r="D100" s="27">
        <f t="shared" si="5"/>
        <v>-6.7047637434401286E-25</v>
      </c>
    </row>
    <row r="101" spans="1:4" x14ac:dyDescent="0.2">
      <c r="A101">
        <v>4.5</v>
      </c>
      <c r="B101">
        <f t="shared" si="3"/>
        <v>3.8787110886340846E-25</v>
      </c>
      <c r="C101">
        <f t="shared" si="4"/>
        <v>-3.8787110886340846E-25</v>
      </c>
      <c r="D101" s="27">
        <f t="shared" si="5"/>
        <v>-3.8784156598613349E-25</v>
      </c>
    </row>
    <row r="102" spans="1:4" x14ac:dyDescent="0.2">
      <c r="A102">
        <v>4.55</v>
      </c>
      <c r="B102">
        <f t="shared" si="3"/>
        <v>2.081321242508849E-25</v>
      </c>
      <c r="C102">
        <f t="shared" si="4"/>
        <v>-2.081321242508849E-25</v>
      </c>
      <c r="D102" s="27">
        <f t="shared" si="5"/>
        <v>-1.9107928109935739E-25</v>
      </c>
    </row>
    <row r="103" spans="1:4" x14ac:dyDescent="0.2">
      <c r="A103">
        <v>4.5999999999999996</v>
      </c>
      <c r="B103">
        <f t="shared" si="3"/>
        <v>1.1168395932381976E-25</v>
      </c>
      <c r="C103">
        <f t="shared" si="4"/>
        <v>-1.1168395932381976E-25</v>
      </c>
      <c r="D103" s="27">
        <f t="shared" si="5"/>
        <v>-7.7578616353610588E-26</v>
      </c>
    </row>
    <row r="104" spans="1:4" x14ac:dyDescent="0.2">
      <c r="A104">
        <v>4.6500000000000004</v>
      </c>
      <c r="B104">
        <f t="shared" si="3"/>
        <v>5.9929752867985826E-26</v>
      </c>
      <c r="C104">
        <f t="shared" si="4"/>
        <v>-5.9929752867985826E-26</v>
      </c>
      <c r="D104" s="27">
        <f t="shared" si="5"/>
        <v>-2.1818034456323041E-26</v>
      </c>
    </row>
    <row r="105" spans="1:4" x14ac:dyDescent="0.2">
      <c r="A105">
        <v>4.7</v>
      </c>
      <c r="B105">
        <f t="shared" si="3"/>
        <v>3.2158380671340297E-26</v>
      </c>
      <c r="C105">
        <f t="shared" si="4"/>
        <v>-3.2158380671340297E-26</v>
      </c>
      <c r="D105" s="27">
        <f t="shared" si="5"/>
        <v>7.2843124877654743E-28</v>
      </c>
    </row>
    <row r="106" spans="1:4" x14ac:dyDescent="0.2">
      <c r="A106">
        <v>4.75</v>
      </c>
      <c r="B106">
        <f t="shared" si="3"/>
        <v>1.7256227464860522E-26</v>
      </c>
      <c r="C106">
        <f t="shared" si="4"/>
        <v>-1.7256227464860522E-26</v>
      </c>
      <c r="D106" s="27">
        <f t="shared" si="5"/>
        <v>7.0037778418125137E-27</v>
      </c>
    </row>
    <row r="107" spans="1:4" x14ac:dyDescent="0.2">
      <c r="A107">
        <v>4.8</v>
      </c>
      <c r="B107">
        <f t="shared" si="3"/>
        <v>9.2597133345208238E-27</v>
      </c>
      <c r="C107">
        <f t="shared" si="4"/>
        <v>-9.2597133345208238E-27</v>
      </c>
      <c r="D107" s="27">
        <f t="shared" si="5"/>
        <v>6.7271317673783488E-27</v>
      </c>
    </row>
    <row r="108" spans="1:4" x14ac:dyDescent="0.2">
      <c r="A108">
        <v>4.8499999999999996</v>
      </c>
      <c r="B108">
        <f t="shared" si="3"/>
        <v>4.9687738071430901E-27</v>
      </c>
      <c r="C108">
        <f t="shared" si="4"/>
        <v>-4.9687738071430901E-27</v>
      </c>
      <c r="D108" s="27">
        <f t="shared" si="5"/>
        <v>4.6461992523243405E-27</v>
      </c>
    </row>
    <row r="109" spans="1:4" x14ac:dyDescent="0.2">
      <c r="A109">
        <v>4.9000000000000004</v>
      </c>
      <c r="B109">
        <f t="shared" si="3"/>
        <v>2.6662502665724981E-27</v>
      </c>
      <c r="C109">
        <f t="shared" si="4"/>
        <v>-2.6662502665724981E-27</v>
      </c>
      <c r="D109" s="27">
        <f t="shared" si="5"/>
        <v>2.6648017741159669E-27</v>
      </c>
    </row>
    <row r="110" spans="1:4" x14ac:dyDescent="0.2">
      <c r="A110">
        <v>4.95</v>
      </c>
      <c r="B110">
        <f t="shared" si="3"/>
        <v>1.4307132423251597E-27</v>
      </c>
      <c r="C110">
        <f t="shared" si="4"/>
        <v>-1.4307132423251597E-27</v>
      </c>
      <c r="D110" s="27">
        <f t="shared" si="5"/>
        <v>1.3015164384802625E-27</v>
      </c>
    </row>
    <row r="111" spans="1:4" x14ac:dyDescent="0.2">
      <c r="A111">
        <v>5</v>
      </c>
      <c r="B111">
        <f t="shared" si="3"/>
        <v>7.6772252306079537E-28</v>
      </c>
      <c r="C111">
        <f t="shared" si="4"/>
        <v>-7.6772252306079537E-28</v>
      </c>
      <c r="D111" s="27">
        <f t="shared" si="5"/>
        <v>5.2177875579733711E-28</v>
      </c>
    </row>
    <row r="112" spans="1:4" x14ac:dyDescent="0.2">
      <c r="A112">
        <v>5.05</v>
      </c>
      <c r="B112">
        <f t="shared" si="3"/>
        <v>4.1196087026982631E-28</v>
      </c>
      <c r="C112">
        <f t="shared" si="4"/>
        <v>-4.1196087026982631E-28</v>
      </c>
      <c r="D112" s="27">
        <f t="shared" si="5"/>
        <v>1.4203483780533129E-28</v>
      </c>
    </row>
    <row r="113" spans="1:4" x14ac:dyDescent="0.2">
      <c r="A113">
        <v>5.0999999999999996</v>
      </c>
      <c r="B113">
        <f t="shared" si="3"/>
        <v>2.2105872048257376E-28</v>
      </c>
      <c r="C113">
        <f t="shared" si="4"/>
        <v>-2.2105872048257376E-28</v>
      </c>
      <c r="D113" s="27">
        <f t="shared" si="5"/>
        <v>-9.5633446502114437E-30</v>
      </c>
    </row>
    <row r="114" spans="1:4" x14ac:dyDescent="0.2">
      <c r="A114">
        <v>5.15</v>
      </c>
      <c r="B114">
        <f t="shared" si="3"/>
        <v>1.1862038709983483E-28</v>
      </c>
      <c r="C114">
        <f t="shared" si="4"/>
        <v>-1.1862038709983483E-28</v>
      </c>
      <c r="D114" s="27">
        <f t="shared" si="5"/>
        <v>-5.0369634628282398E-29</v>
      </c>
    </row>
    <row r="115" spans="1:4" x14ac:dyDescent="0.2">
      <c r="A115">
        <v>5.2</v>
      </c>
      <c r="B115">
        <f t="shared" si="3"/>
        <v>6.3651848725978115E-29</v>
      </c>
      <c r="C115">
        <f t="shared" si="4"/>
        <v>-6.3651848725978115E-29</v>
      </c>
      <c r="D115" s="27">
        <f t="shared" si="5"/>
        <v>-4.713481974273142E-29</v>
      </c>
    </row>
    <row r="116" spans="1:4" x14ac:dyDescent="0.2">
      <c r="A116">
        <v>5.25</v>
      </c>
      <c r="B116">
        <f t="shared" si="3"/>
        <v>3.4155661984350283E-29</v>
      </c>
      <c r="C116">
        <f t="shared" si="4"/>
        <v>-3.4155661984350283E-29</v>
      </c>
      <c r="D116" s="27">
        <f t="shared" si="5"/>
        <v>-3.2181104000064347E-29</v>
      </c>
    </row>
    <row r="117" spans="1:4" x14ac:dyDescent="0.2">
      <c r="A117">
        <v>5.3</v>
      </c>
      <c r="B117">
        <f t="shared" si="3"/>
        <v>1.8327971126360466E-29</v>
      </c>
      <c r="C117">
        <f t="shared" si="4"/>
        <v>-1.8327971126360466E-29</v>
      </c>
      <c r="D117" s="27">
        <f t="shared" si="5"/>
        <v>-1.8301663464923034E-29</v>
      </c>
    </row>
    <row r="118" spans="1:4" x14ac:dyDescent="0.2">
      <c r="A118">
        <v>5.35</v>
      </c>
      <c r="B118">
        <f t="shared" si="3"/>
        <v>9.8348123295815419E-30</v>
      </c>
      <c r="C118">
        <f t="shared" si="4"/>
        <v>-9.8348123295815419E-30</v>
      </c>
      <c r="D118" s="27">
        <f t="shared" si="5"/>
        <v>-8.8605874878164769E-30</v>
      </c>
    </row>
    <row r="119" spans="1:4" x14ac:dyDescent="0.2">
      <c r="A119">
        <v>5.4</v>
      </c>
      <c r="B119">
        <f t="shared" si="3"/>
        <v>5.2773726503187448E-30</v>
      </c>
      <c r="C119">
        <f t="shared" si="4"/>
        <v>-5.2773726503187448E-30</v>
      </c>
      <c r="D119" s="27">
        <f t="shared" si="5"/>
        <v>-3.5061525036377764E-30</v>
      </c>
    </row>
    <row r="120" spans="1:4" x14ac:dyDescent="0.2">
      <c r="A120">
        <v>5.45</v>
      </c>
      <c r="B120">
        <f t="shared" si="3"/>
        <v>2.8318447934753926E-30</v>
      </c>
      <c r="C120">
        <f t="shared" si="4"/>
        <v>-2.8318447934753926E-30</v>
      </c>
      <c r="D120" s="27">
        <f t="shared" si="5"/>
        <v>-9.2133570999904213E-31</v>
      </c>
    </row>
    <row r="121" spans="1:4" x14ac:dyDescent="0.2">
      <c r="A121">
        <v>5.5</v>
      </c>
      <c r="B121">
        <f t="shared" si="3"/>
        <v>1.519571473477284E-30</v>
      </c>
      <c r="C121">
        <f t="shared" si="4"/>
        <v>-1.519571473477284E-30</v>
      </c>
      <c r="D121" s="27">
        <f t="shared" si="5"/>
        <v>9.7029734252162348E-32</v>
      </c>
    </row>
    <row r="122" spans="1:4" x14ac:dyDescent="0.2">
      <c r="A122">
        <v>5.55</v>
      </c>
      <c r="B122">
        <f t="shared" si="3"/>
        <v>8.1540396151869448E-31</v>
      </c>
      <c r="C122">
        <f t="shared" si="4"/>
        <v>-8.1540396151869448E-31</v>
      </c>
      <c r="D122" s="27">
        <f t="shared" si="5"/>
        <v>3.6139313571786337E-31</v>
      </c>
    </row>
    <row r="123" spans="1:4" x14ac:dyDescent="0.2">
      <c r="A123">
        <v>5.6</v>
      </c>
      <c r="B123">
        <f t="shared" si="3"/>
        <v>4.3754679004266601E-31</v>
      </c>
      <c r="C123">
        <f t="shared" si="4"/>
        <v>-4.3754679004266601E-31</v>
      </c>
      <c r="D123" s="27">
        <f t="shared" si="5"/>
        <v>3.3000223569603811E-31</v>
      </c>
    </row>
    <row r="124" spans="1:4" x14ac:dyDescent="0.2">
      <c r="A124">
        <v>5.65</v>
      </c>
      <c r="B124">
        <f t="shared" si="3"/>
        <v>2.3478815717311945E-31</v>
      </c>
      <c r="C124">
        <f t="shared" si="4"/>
        <v>-2.3478815717311945E-31</v>
      </c>
      <c r="D124" s="27">
        <f t="shared" si="5"/>
        <v>2.2279014739106702E-31</v>
      </c>
    </row>
    <row r="125" spans="1:4" x14ac:dyDescent="0.2">
      <c r="A125">
        <v>5.7</v>
      </c>
      <c r="B125">
        <f t="shared" si="3"/>
        <v>1.2598762007458639E-31</v>
      </c>
      <c r="C125">
        <f t="shared" si="4"/>
        <v>-1.2598762007458639E-31</v>
      </c>
      <c r="D125" s="27">
        <f t="shared" si="5"/>
        <v>1.2564088596741924E-31</v>
      </c>
    </row>
    <row r="126" spans="1:4" x14ac:dyDescent="0.2">
      <c r="A126">
        <v>5.75</v>
      </c>
      <c r="B126">
        <f t="shared" si="3"/>
        <v>6.7605115194778702E-32</v>
      </c>
      <c r="C126">
        <f t="shared" si="4"/>
        <v>-6.7605115194778702E-32</v>
      </c>
      <c r="D126" s="27">
        <f t="shared" si="5"/>
        <v>6.0290351915398348E-32</v>
      </c>
    </row>
    <row r="127" spans="1:4" x14ac:dyDescent="0.2">
      <c r="A127">
        <v>5.8</v>
      </c>
      <c r="B127">
        <f t="shared" si="3"/>
        <v>3.6276989737511213E-32</v>
      </c>
      <c r="C127">
        <f t="shared" si="4"/>
        <v>-3.6276989737511213E-32</v>
      </c>
      <c r="D127" s="27">
        <f t="shared" si="5"/>
        <v>2.3537300497637082E-32</v>
      </c>
    </row>
    <row r="128" spans="1:4" x14ac:dyDescent="0.2">
      <c r="A128">
        <v>5.85</v>
      </c>
      <c r="B128">
        <f t="shared" si="3"/>
        <v>1.9466278263469823E-32</v>
      </c>
      <c r="C128">
        <f t="shared" si="4"/>
        <v>-1.9466278263469823E-32</v>
      </c>
      <c r="D128" s="27">
        <f t="shared" si="5"/>
        <v>5.9524107211211806E-33</v>
      </c>
    </row>
    <row r="129" spans="1:4" x14ac:dyDescent="0.2">
      <c r="A129">
        <v>5.9</v>
      </c>
      <c r="B129">
        <f t="shared" si="3"/>
        <v>1.0445629369269564E-32</v>
      </c>
      <c r="C129">
        <f t="shared" si="4"/>
        <v>-1.0445629369269564E-32</v>
      </c>
      <c r="D129" s="27">
        <f t="shared" si="5"/>
        <v>-8.8179909445294679E-34</v>
      </c>
    </row>
    <row r="130" spans="1:4" x14ac:dyDescent="0.2">
      <c r="A130">
        <v>5.95</v>
      </c>
      <c r="B130">
        <f t="shared" si="3"/>
        <v>5.60513784110975E-33</v>
      </c>
      <c r="C130">
        <f t="shared" si="4"/>
        <v>-5.60513784110975E-33</v>
      </c>
      <c r="D130" s="27">
        <f t="shared" si="5"/>
        <v>-2.5873185932063107E-33</v>
      </c>
    </row>
    <row r="131" spans="1:4" x14ac:dyDescent="0.2">
      <c r="A131">
        <v>6</v>
      </c>
      <c r="B131">
        <f t="shared" si="3"/>
        <v>3.0077240065849525E-33</v>
      </c>
      <c r="C131">
        <f t="shared" si="4"/>
        <v>-3.0077240065849525E-33</v>
      </c>
      <c r="D131" s="27">
        <f t="shared" si="5"/>
        <v>-2.3086981861575681E-33</v>
      </c>
    </row>
    <row r="132" spans="1:4" x14ac:dyDescent="0.2">
      <c r="A132">
        <v>6.05</v>
      </c>
      <c r="B132">
        <f t="shared" si="3"/>
        <v>1.6139484801673019E-33</v>
      </c>
      <c r="C132">
        <f t="shared" si="4"/>
        <v>-1.6139484801673019E-33</v>
      </c>
      <c r="D132" s="27">
        <f t="shared" si="5"/>
        <v>-1.5416503610772554E-33</v>
      </c>
    </row>
    <row r="133" spans="1:4" x14ac:dyDescent="0.2">
      <c r="A133">
        <v>6.1</v>
      </c>
      <c r="B133">
        <f t="shared" si="3"/>
        <v>8.660467818627863E-34</v>
      </c>
      <c r="C133">
        <f t="shared" si="4"/>
        <v>-8.660467818627863E-34</v>
      </c>
      <c r="D133" s="27">
        <f t="shared" si="5"/>
        <v>-8.6215568110348252E-34</v>
      </c>
    </row>
    <row r="134" spans="1:4" x14ac:dyDescent="0.2">
      <c r="A134">
        <v>6.15</v>
      </c>
      <c r="B134">
        <f t="shared" ref="B134:B197" si="6">$B$5*EXP(-$D$5*$C$5*A134)</f>
        <v>4.6472179105564728E-34</v>
      </c>
      <c r="C134">
        <f t="shared" ref="C134:C197" si="7">(-1)*$B$5*EXP(-$D$5*$C$5*A134)</f>
        <v>-4.6472179105564728E-34</v>
      </c>
      <c r="D134" s="27">
        <f t="shared" si="5"/>
        <v>-4.1001606248237168E-34</v>
      </c>
    </row>
    <row r="135" spans="1:4" x14ac:dyDescent="0.2">
      <c r="A135">
        <v>6.2</v>
      </c>
      <c r="B135">
        <f t="shared" si="6"/>
        <v>2.4937029685330064E-34</v>
      </c>
      <c r="C135">
        <f t="shared" si="7"/>
        <v>-2.4937029685330064E-34</v>
      </c>
      <c r="D135" s="27">
        <f t="shared" si="5"/>
        <v>-1.5784965050887093E-34</v>
      </c>
    </row>
    <row r="136" spans="1:4" x14ac:dyDescent="0.2">
      <c r="A136">
        <v>6.25</v>
      </c>
      <c r="B136">
        <f t="shared" si="6"/>
        <v>1.3381241454472054E-34</v>
      </c>
      <c r="C136">
        <f t="shared" si="7"/>
        <v>-1.3381241454472054E-34</v>
      </c>
      <c r="D136" s="27">
        <f t="shared" si="5"/>
        <v>-3.8281454489224369E-35</v>
      </c>
    </row>
    <row r="137" spans="1:4" x14ac:dyDescent="0.2">
      <c r="A137">
        <v>6.3</v>
      </c>
      <c r="B137">
        <f t="shared" si="6"/>
        <v>7.1803909736779837E-35</v>
      </c>
      <c r="C137">
        <f t="shared" si="7"/>
        <v>-7.1803909736779837E-35</v>
      </c>
      <c r="D137" s="27">
        <f t="shared" si="5"/>
        <v>7.535586233865758E-36</v>
      </c>
    </row>
    <row r="138" spans="1:4" x14ac:dyDescent="0.2">
      <c r="A138">
        <v>6.35</v>
      </c>
      <c r="B138">
        <f t="shared" si="6"/>
        <v>3.8530068163178296E-35</v>
      </c>
      <c r="C138">
        <f t="shared" si="7"/>
        <v>-3.8530068163178296E-35</v>
      </c>
      <c r="D138" s="27">
        <f t="shared" si="5"/>
        <v>1.848640218788146E-35</v>
      </c>
    </row>
    <row r="139" spans="1:4" x14ac:dyDescent="0.2">
      <c r="A139">
        <v>6.4</v>
      </c>
      <c r="B139">
        <f t="shared" si="6"/>
        <v>2.0675282976947858E-35</v>
      </c>
      <c r="C139">
        <f t="shared" si="7"/>
        <v>-2.0675282976947858E-35</v>
      </c>
      <c r="D139" s="27">
        <f t="shared" si="5"/>
        <v>1.6140014331467809E-35</v>
      </c>
    </row>
    <row r="140" spans="1:4" x14ac:dyDescent="0.2">
      <c r="A140">
        <v>6.45</v>
      </c>
      <c r="B140">
        <f t="shared" si="6"/>
        <v>1.1094382817245988E-35</v>
      </c>
      <c r="C140">
        <f t="shared" si="7"/>
        <v>-1.1094382817245988E-35</v>
      </c>
      <c r="D140" s="27">
        <f t="shared" ref="D140:D203" si="8">EXP(-$D$5*$C$5*A140)*($P$2*COS($E$5*A140)+$Q$2*SIN($E$5*A140))</f>
        <v>1.0662851560424989E-35</v>
      </c>
    </row>
    <row r="141" spans="1:4" x14ac:dyDescent="0.2">
      <c r="A141">
        <v>6.5</v>
      </c>
      <c r="B141">
        <f t="shared" si="6"/>
        <v>5.9532597562430795E-36</v>
      </c>
      <c r="C141">
        <f t="shared" si="7"/>
        <v>-5.9532597562430795E-36</v>
      </c>
      <c r="D141" s="27">
        <f t="shared" si="8"/>
        <v>5.9136283499653519E-36</v>
      </c>
    </row>
    <row r="142" spans="1:4" x14ac:dyDescent="0.2">
      <c r="A142">
        <v>6.55</v>
      </c>
      <c r="B142">
        <f t="shared" si="6"/>
        <v>3.1945266635482088E-36</v>
      </c>
      <c r="C142">
        <f t="shared" si="7"/>
        <v>-3.1945266635482088E-36</v>
      </c>
      <c r="D142" s="27">
        <f t="shared" si="8"/>
        <v>2.7868695068783309E-36</v>
      </c>
    </row>
    <row r="143" spans="1:4" x14ac:dyDescent="0.2">
      <c r="A143">
        <v>6.6</v>
      </c>
      <c r="B143">
        <f t="shared" si="6"/>
        <v>1.7141870205510166E-36</v>
      </c>
      <c r="C143">
        <f t="shared" si="7"/>
        <v>-1.7141870205510166E-36</v>
      </c>
      <c r="D143" s="27">
        <f t="shared" si="8"/>
        <v>1.0574734803713529E-36</v>
      </c>
    </row>
    <row r="144" spans="1:4" x14ac:dyDescent="0.2">
      <c r="A144">
        <v>6.65</v>
      </c>
      <c r="B144">
        <f t="shared" si="6"/>
        <v>9.1983490855002668E-37</v>
      </c>
      <c r="C144">
        <f t="shared" si="7"/>
        <v>-9.1983490855002668E-37</v>
      </c>
      <c r="D144" s="27">
        <f t="shared" si="8"/>
        <v>2.4491863123182348E-37</v>
      </c>
    </row>
    <row r="145" spans="1:4" x14ac:dyDescent="0.2">
      <c r="A145">
        <v>6.7</v>
      </c>
      <c r="B145">
        <f t="shared" si="6"/>
        <v>4.9358456740343681E-37</v>
      </c>
      <c r="C145">
        <f t="shared" si="7"/>
        <v>-4.9358456740343681E-37</v>
      </c>
      <c r="D145" s="27">
        <f t="shared" si="8"/>
        <v>-6.191073493281847E-38</v>
      </c>
    </row>
    <row r="146" spans="1:4" x14ac:dyDescent="0.2">
      <c r="A146">
        <v>6.75</v>
      </c>
      <c r="B146">
        <f t="shared" si="6"/>
        <v>2.6485809889828123E-37</v>
      </c>
      <c r="C146">
        <f t="shared" si="7"/>
        <v>-2.6485809889828123E-37</v>
      </c>
      <c r="D146" s="27">
        <f t="shared" si="8"/>
        <v>-1.3184144932255459E-37</v>
      </c>
    </row>
    <row r="147" spans="1:4" x14ac:dyDescent="0.2">
      <c r="A147">
        <v>6.8</v>
      </c>
      <c r="B147">
        <f t="shared" si="6"/>
        <v>1.4212318857747834E-37</v>
      </c>
      <c r="C147">
        <f t="shared" si="7"/>
        <v>-1.4212318857747834E-37</v>
      </c>
      <c r="D147" s="27">
        <f t="shared" si="8"/>
        <v>-1.12755450874487E-37</v>
      </c>
    </row>
    <row r="148" spans="1:4" x14ac:dyDescent="0.2">
      <c r="A148">
        <v>6.85</v>
      </c>
      <c r="B148">
        <f t="shared" si="6"/>
        <v>7.6263481522561203E-38</v>
      </c>
      <c r="C148">
        <f t="shared" si="7"/>
        <v>-7.6263481522561203E-38</v>
      </c>
      <c r="D148" s="27">
        <f t="shared" si="8"/>
        <v>-7.3715850746550262E-38</v>
      </c>
    </row>
    <row r="149" spans="1:4" x14ac:dyDescent="0.2">
      <c r="A149">
        <v>6.9</v>
      </c>
      <c r="B149">
        <f t="shared" si="6"/>
        <v>4.0923079985439645E-38</v>
      </c>
      <c r="C149">
        <f t="shared" si="7"/>
        <v>-4.0923079985439645E-38</v>
      </c>
      <c r="D149" s="27">
        <f t="shared" si="8"/>
        <v>-4.0544801249105472E-38</v>
      </c>
    </row>
    <row r="150" spans="1:4" x14ac:dyDescent="0.2">
      <c r="A150">
        <v>6.95</v>
      </c>
      <c r="B150">
        <f t="shared" si="6"/>
        <v>2.1959376126820076E-38</v>
      </c>
      <c r="C150">
        <f t="shared" si="7"/>
        <v>-2.1959376126820076E-38</v>
      </c>
      <c r="D150" s="27">
        <f t="shared" si="8"/>
        <v>-1.8931703476561273E-38</v>
      </c>
    </row>
    <row r="151" spans="1:4" x14ac:dyDescent="0.2">
      <c r="A151">
        <v>7</v>
      </c>
      <c r="B151">
        <f t="shared" si="6"/>
        <v>1.1783428814515754E-38</v>
      </c>
      <c r="C151">
        <f t="shared" si="7"/>
        <v>-1.1783428814515754E-38</v>
      </c>
      <c r="D151" s="27">
        <f t="shared" si="8"/>
        <v>-7.0763587010909512E-39</v>
      </c>
    </row>
    <row r="152" spans="1:4" x14ac:dyDescent="0.2">
      <c r="A152">
        <v>7.05</v>
      </c>
      <c r="B152">
        <f t="shared" si="6"/>
        <v>6.3230027039417918E-39</v>
      </c>
      <c r="C152">
        <f t="shared" si="7"/>
        <v>-6.3230027039417918E-39</v>
      </c>
      <c r="D152" s="27">
        <f t="shared" si="8"/>
        <v>-1.5575525894343895E-39</v>
      </c>
    </row>
    <row r="153" spans="1:4" x14ac:dyDescent="0.2">
      <c r="A153">
        <v>7.1</v>
      </c>
      <c r="B153">
        <f t="shared" si="6"/>
        <v>3.3929311937459366E-39</v>
      </c>
      <c r="C153">
        <f t="shared" si="7"/>
        <v>-3.3929311937459366E-39</v>
      </c>
      <c r="D153" s="27">
        <f t="shared" si="8"/>
        <v>4.9489848884561291E-40</v>
      </c>
    </row>
    <row r="154" spans="1:4" x14ac:dyDescent="0.2">
      <c r="A154">
        <v>7.15</v>
      </c>
      <c r="B154">
        <f t="shared" si="6"/>
        <v>1.820651140686307E-39</v>
      </c>
      <c r="C154">
        <f t="shared" si="7"/>
        <v>-1.820651140686307E-39</v>
      </c>
      <c r="D154" s="27">
        <f t="shared" si="8"/>
        <v>9.3865426666764572E-40</v>
      </c>
    </row>
    <row r="155" spans="1:4" x14ac:dyDescent="0.2">
      <c r="A155">
        <v>7.2</v>
      </c>
      <c r="B155">
        <f t="shared" si="6"/>
        <v>9.7696368915241902E-40</v>
      </c>
      <c r="C155">
        <f t="shared" si="7"/>
        <v>-9.7696368915241902E-40</v>
      </c>
      <c r="D155" s="27">
        <f t="shared" si="8"/>
        <v>7.8718660913452047E-40</v>
      </c>
    </row>
    <row r="156" spans="1:4" x14ac:dyDescent="0.2">
      <c r="A156">
        <v>7.25</v>
      </c>
      <c r="B156">
        <f t="shared" si="6"/>
        <v>5.2423994283854309E-40</v>
      </c>
      <c r="C156">
        <f t="shared" si="7"/>
        <v>-5.2423994283854309E-40</v>
      </c>
      <c r="D156" s="27">
        <f t="shared" si="8"/>
        <v>5.0939034703118203E-40</v>
      </c>
    </row>
    <row r="157" spans="1:4" x14ac:dyDescent="0.2">
      <c r="A157">
        <v>7.3</v>
      </c>
      <c r="B157">
        <f t="shared" si="6"/>
        <v>2.813078118653378E-40</v>
      </c>
      <c r="C157">
        <f t="shared" si="7"/>
        <v>-2.813078118653378E-40</v>
      </c>
      <c r="D157" s="27">
        <f t="shared" si="8"/>
        <v>2.7786136273405423E-40</v>
      </c>
    </row>
    <row r="158" spans="1:4" x14ac:dyDescent="0.2">
      <c r="A158">
        <v>7.35</v>
      </c>
      <c r="B158">
        <f t="shared" si="6"/>
        <v>1.5095012521935249E-40</v>
      </c>
      <c r="C158">
        <f t="shared" si="7"/>
        <v>-1.5095012521935249E-40</v>
      </c>
      <c r="D158" s="27">
        <f t="shared" si="8"/>
        <v>1.2853287882418862E-40</v>
      </c>
    </row>
    <row r="159" spans="1:4" x14ac:dyDescent="0.2">
      <c r="A159">
        <v>7.4</v>
      </c>
      <c r="B159">
        <f t="shared" si="6"/>
        <v>8.1000026812784871E-41</v>
      </c>
      <c r="C159">
        <f t="shared" si="7"/>
        <v>-8.1000026812784871E-41</v>
      </c>
      <c r="D159" s="27">
        <f t="shared" si="8"/>
        <v>4.729746435462703E-41</v>
      </c>
    </row>
    <row r="160" spans="1:4" x14ac:dyDescent="0.2">
      <c r="A160">
        <v>7.45</v>
      </c>
      <c r="B160">
        <f t="shared" si="6"/>
        <v>4.3464716138113654E-41</v>
      </c>
      <c r="C160">
        <f t="shared" si="7"/>
        <v>-4.3464716138113654E-41</v>
      </c>
      <c r="D160" s="27">
        <f t="shared" si="8"/>
        <v>9.8357994950622347E-42</v>
      </c>
    </row>
    <row r="161" spans="1:4" x14ac:dyDescent="0.2">
      <c r="A161">
        <v>7.5</v>
      </c>
      <c r="B161">
        <f t="shared" si="6"/>
        <v>2.3323221279089912E-41</v>
      </c>
      <c r="C161">
        <f t="shared" si="7"/>
        <v>-2.3323221279089912E-41</v>
      </c>
      <c r="D161" s="27">
        <f t="shared" si="8"/>
        <v>-3.8770280703862786E-42</v>
      </c>
    </row>
    <row r="162" spans="1:4" x14ac:dyDescent="0.2">
      <c r="A162">
        <v>7.55</v>
      </c>
      <c r="B162">
        <f t="shared" si="6"/>
        <v>1.2515269836454711E-41</v>
      </c>
      <c r="C162">
        <f t="shared" si="7"/>
        <v>-1.2515269836454711E-41</v>
      </c>
      <c r="D162" s="27">
        <f t="shared" si="8"/>
        <v>-6.6721232758270422E-42</v>
      </c>
    </row>
    <row r="163" spans="1:4" x14ac:dyDescent="0.2">
      <c r="A163">
        <v>7.6</v>
      </c>
      <c r="B163">
        <f t="shared" si="6"/>
        <v>6.715709515636119E-42</v>
      </c>
      <c r="C163">
        <f t="shared" si="7"/>
        <v>-6.715709515636119E-42</v>
      </c>
      <c r="D163" s="27">
        <f t="shared" si="8"/>
        <v>-5.492035377110583E-42</v>
      </c>
    </row>
    <row r="164" spans="1:4" x14ac:dyDescent="0.2">
      <c r="A164">
        <v>7.65</v>
      </c>
      <c r="B164">
        <f t="shared" si="6"/>
        <v>3.60365816221039E-42</v>
      </c>
      <c r="C164">
        <f t="shared" si="7"/>
        <v>-3.60365816221039E-42</v>
      </c>
      <c r="D164" s="27">
        <f t="shared" si="8"/>
        <v>-3.5183975666254196E-42</v>
      </c>
    </row>
    <row r="165" spans="1:4" x14ac:dyDescent="0.2">
      <c r="A165">
        <v>7.7</v>
      </c>
      <c r="B165">
        <f t="shared" si="6"/>
        <v>1.9337274966747106E-42</v>
      </c>
      <c r="C165">
        <f t="shared" si="7"/>
        <v>-1.9337274966747106E-42</v>
      </c>
      <c r="D165" s="27">
        <f t="shared" si="8"/>
        <v>-1.9034077605307155E-42</v>
      </c>
    </row>
    <row r="166" spans="1:4" x14ac:dyDescent="0.2">
      <c r="A166">
        <v>7.75</v>
      </c>
      <c r="B166">
        <f t="shared" si="6"/>
        <v>1.0376406038197175E-42</v>
      </c>
      <c r="C166">
        <f t="shared" si="7"/>
        <v>-1.0376406038197175E-42</v>
      </c>
      <c r="D166" s="27">
        <f t="shared" si="8"/>
        <v>-8.7213559266369114E-43</v>
      </c>
    </row>
    <row r="167" spans="1:4" x14ac:dyDescent="0.2">
      <c r="A167">
        <v>7.8</v>
      </c>
      <c r="B167">
        <f t="shared" si="6"/>
        <v>5.5679925146996258E-43</v>
      </c>
      <c r="C167">
        <f t="shared" si="7"/>
        <v>-5.5679925146996258E-43</v>
      </c>
      <c r="D167" s="27">
        <f t="shared" si="8"/>
        <v>-3.1573589061844447E-43</v>
      </c>
    </row>
    <row r="168" spans="1:4" x14ac:dyDescent="0.2">
      <c r="A168">
        <v>7.85</v>
      </c>
      <c r="B168">
        <f t="shared" si="6"/>
        <v>2.9877917777721315E-43</v>
      </c>
      <c r="C168">
        <f t="shared" si="7"/>
        <v>-2.9877917777721315E-43</v>
      </c>
      <c r="D168" s="27">
        <f t="shared" si="8"/>
        <v>-6.1596429264931946E-44</v>
      </c>
    </row>
    <row r="169" spans="1:4" x14ac:dyDescent="0.2">
      <c r="A169">
        <v>7.9</v>
      </c>
      <c r="B169">
        <f t="shared" si="6"/>
        <v>1.6032528211479116E-43</v>
      </c>
      <c r="C169">
        <f t="shared" si="7"/>
        <v>-1.6032528211479116E-43</v>
      </c>
      <c r="D169" s="27">
        <f t="shared" si="8"/>
        <v>2.9905226229390069E-44</v>
      </c>
    </row>
    <row r="170" spans="1:4" x14ac:dyDescent="0.2">
      <c r="A170">
        <v>7.95</v>
      </c>
      <c r="B170">
        <f t="shared" si="6"/>
        <v>8.6030747779735225E-44</v>
      </c>
      <c r="C170">
        <f t="shared" si="7"/>
        <v>-8.6030747779735225E-44</v>
      </c>
      <c r="D170" s="27">
        <f t="shared" si="8"/>
        <v>4.7355699730923086E-44</v>
      </c>
    </row>
    <row r="171" spans="1:4" x14ac:dyDescent="0.2">
      <c r="A171">
        <v>8</v>
      </c>
      <c r="B171">
        <f t="shared" si="6"/>
        <v>4.6164207328455343E-44</v>
      </c>
      <c r="C171">
        <f t="shared" si="7"/>
        <v>-4.6164207328455343E-44</v>
      </c>
      <c r="D171" s="27">
        <f t="shared" si="8"/>
        <v>3.8292414455067957E-44</v>
      </c>
    </row>
    <row r="172" spans="1:4" x14ac:dyDescent="0.2">
      <c r="A172">
        <v>8.0500000000000007</v>
      </c>
      <c r="B172">
        <f t="shared" si="6"/>
        <v>2.4771771642866097E-44</v>
      </c>
      <c r="C172">
        <f t="shared" si="7"/>
        <v>-2.4771771642866097E-44</v>
      </c>
      <c r="D172" s="27">
        <f t="shared" si="8"/>
        <v>2.4290997571039569E-44</v>
      </c>
    </row>
    <row r="173" spans="1:4" x14ac:dyDescent="0.2">
      <c r="A173">
        <v>8.1</v>
      </c>
      <c r="B173">
        <f t="shared" si="6"/>
        <v>1.329256378129272E-44</v>
      </c>
      <c r="C173">
        <f t="shared" si="7"/>
        <v>-1.329256378129272E-44</v>
      </c>
      <c r="D173" s="27">
        <f t="shared" si="8"/>
        <v>1.3033014479746431E-44</v>
      </c>
    </row>
    <row r="174" spans="1:4" x14ac:dyDescent="0.2">
      <c r="A174">
        <v>8.15</v>
      </c>
      <c r="B174">
        <f t="shared" si="6"/>
        <v>7.1328064228548941E-45</v>
      </c>
      <c r="C174">
        <f t="shared" si="7"/>
        <v>-7.1328064228548941E-45</v>
      </c>
      <c r="D174" s="27">
        <f t="shared" si="8"/>
        <v>5.9141496749534973E-45</v>
      </c>
    </row>
    <row r="175" spans="1:4" x14ac:dyDescent="0.2">
      <c r="A175">
        <v>8.1999999999999993</v>
      </c>
      <c r="B175">
        <f t="shared" si="6"/>
        <v>3.8274728865715944E-45</v>
      </c>
      <c r="C175">
        <f t="shared" si="7"/>
        <v>-3.8274728865715944E-45</v>
      </c>
      <c r="D175" s="27">
        <f t="shared" si="8"/>
        <v>2.1049189887009978E-45</v>
      </c>
    </row>
    <row r="176" spans="1:4" x14ac:dyDescent="0.2">
      <c r="A176">
        <v>8.25</v>
      </c>
      <c r="B176">
        <f t="shared" si="6"/>
        <v>2.053826758917849E-45</v>
      </c>
      <c r="C176">
        <f t="shared" si="7"/>
        <v>-2.053826758917849E-45</v>
      </c>
      <c r="D176" s="27">
        <f t="shared" si="8"/>
        <v>3.8188692388143715E-46</v>
      </c>
    </row>
    <row r="177" spans="1:4" x14ac:dyDescent="0.2">
      <c r="A177">
        <v>8.3000000000000007</v>
      </c>
      <c r="B177">
        <f t="shared" si="6"/>
        <v>1.1020860188053049E-45</v>
      </c>
      <c r="C177">
        <f t="shared" si="7"/>
        <v>-1.1020860188053049E-45</v>
      </c>
      <c r="D177" s="27">
        <f t="shared" si="8"/>
        <v>-2.2785319059499848E-46</v>
      </c>
    </row>
    <row r="178" spans="1:4" x14ac:dyDescent="0.2">
      <c r="A178">
        <v>8.35</v>
      </c>
      <c r="B178">
        <f t="shared" si="6"/>
        <v>5.913807421060793E-46</v>
      </c>
      <c r="C178">
        <f t="shared" si="7"/>
        <v>-5.913807421060793E-46</v>
      </c>
      <c r="D178" s="27">
        <f t="shared" si="8"/>
        <v>-3.3563757747751634E-46</v>
      </c>
    </row>
    <row r="179" spans="1:4" x14ac:dyDescent="0.2">
      <c r="A179">
        <v>8.4</v>
      </c>
      <c r="B179">
        <f t="shared" si="6"/>
        <v>3.1733564909302772E-46</v>
      </c>
      <c r="C179">
        <f t="shared" si="7"/>
        <v>-3.1733564909302772E-46</v>
      </c>
      <c r="D179" s="27">
        <f t="shared" si="8"/>
        <v>-2.6682327278785592E-46</v>
      </c>
    </row>
    <row r="180" spans="1:4" x14ac:dyDescent="0.2">
      <c r="A180">
        <v>8.4499999999999993</v>
      </c>
      <c r="B180">
        <f t="shared" si="6"/>
        <v>1.7028270793307499E-46</v>
      </c>
      <c r="C180">
        <f t="shared" si="7"/>
        <v>-1.7028270793307499E-46</v>
      </c>
      <c r="D180" s="27">
        <f t="shared" si="8"/>
        <v>-1.676307562818248E-46</v>
      </c>
    </row>
    <row r="181" spans="1:4" x14ac:dyDescent="0.2">
      <c r="A181">
        <v>8.5</v>
      </c>
      <c r="B181">
        <f t="shared" si="6"/>
        <v>9.1373914982114726E-47</v>
      </c>
      <c r="C181">
        <f t="shared" si="7"/>
        <v>-9.1373914982114726E-47</v>
      </c>
      <c r="D181" s="27">
        <f t="shared" si="8"/>
        <v>-8.9200191878639558E-47</v>
      </c>
    </row>
    <row r="182" spans="1:4" x14ac:dyDescent="0.2">
      <c r="A182">
        <v>8.5500000000000007</v>
      </c>
      <c r="B182">
        <f t="shared" si="6"/>
        <v>4.9031357561215403E-47</v>
      </c>
      <c r="C182">
        <f t="shared" si="7"/>
        <v>-4.9031357561215403E-47</v>
      </c>
      <c r="D182" s="27">
        <f t="shared" si="8"/>
        <v>-4.0080388839661824E-47</v>
      </c>
    </row>
    <row r="183" spans="1:4" x14ac:dyDescent="0.2">
      <c r="A183">
        <v>8.6</v>
      </c>
      <c r="B183">
        <f t="shared" si="6"/>
        <v>2.6310288059413791E-47</v>
      </c>
      <c r="C183">
        <f t="shared" si="7"/>
        <v>-2.6310288059413791E-47</v>
      </c>
      <c r="D183" s="27">
        <f t="shared" si="8"/>
        <v>-1.4013151942321659E-47</v>
      </c>
    </row>
    <row r="184" spans="1:4" x14ac:dyDescent="0.2">
      <c r="A184">
        <v>8.65</v>
      </c>
      <c r="B184">
        <f t="shared" si="6"/>
        <v>1.4118133623061011E-47</v>
      </c>
      <c r="C184">
        <f t="shared" si="7"/>
        <v>-1.4118133623061011E-47</v>
      </c>
      <c r="D184" s="27">
        <f t="shared" si="8"/>
        <v>-2.3385130871647507E-48</v>
      </c>
    </row>
    <row r="185" spans="1:4" x14ac:dyDescent="0.2">
      <c r="A185">
        <v>8.6999999999999993</v>
      </c>
      <c r="B185">
        <f t="shared" si="6"/>
        <v>7.5758082370098405E-48</v>
      </c>
      <c r="C185">
        <f t="shared" si="7"/>
        <v>-7.5758082370098405E-48</v>
      </c>
      <c r="D185" s="27">
        <f t="shared" si="8"/>
        <v>1.7187843640920261E-48</v>
      </c>
    </row>
    <row r="186" spans="1:4" x14ac:dyDescent="0.2">
      <c r="A186">
        <v>8.75</v>
      </c>
      <c r="B186">
        <f t="shared" si="6"/>
        <v>4.0651882165357309E-48</v>
      </c>
      <c r="C186">
        <f t="shared" si="7"/>
        <v>-4.0651882165357309E-48</v>
      </c>
      <c r="D186" s="27">
        <f t="shared" si="8"/>
        <v>2.3757199133646267E-48</v>
      </c>
    </row>
    <row r="187" spans="1:4" x14ac:dyDescent="0.2">
      <c r="A187">
        <v>8.8000000000000007</v>
      </c>
      <c r="B187">
        <f t="shared" si="6"/>
        <v>2.1813851035891424E-48</v>
      </c>
      <c r="C187">
        <f t="shared" si="7"/>
        <v>-2.1813851035891424E-48</v>
      </c>
      <c r="D187" s="27">
        <f t="shared" si="8"/>
        <v>1.8581184234466266E-48</v>
      </c>
    </row>
    <row r="188" spans="1:4" x14ac:dyDescent="0.2">
      <c r="A188">
        <v>8.85</v>
      </c>
      <c r="B188">
        <f t="shared" si="6"/>
        <v>1.1705339867918159E-48</v>
      </c>
      <c r="C188">
        <f t="shared" si="7"/>
        <v>-1.1705339867918159E-48</v>
      </c>
      <c r="D188" s="27">
        <f t="shared" si="8"/>
        <v>1.1563025058959409E-48</v>
      </c>
    </row>
    <row r="189" spans="1:4" x14ac:dyDescent="0.2">
      <c r="A189">
        <v>8.9</v>
      </c>
      <c r="B189">
        <f t="shared" si="6"/>
        <v>6.2811000771039814E-49</v>
      </c>
      <c r="C189">
        <f t="shared" si="7"/>
        <v>-6.2811000771039814E-49</v>
      </c>
      <c r="D189" s="27">
        <f t="shared" si="8"/>
        <v>6.1022906053815891E-49</v>
      </c>
    </row>
    <row r="190" spans="1:4" x14ac:dyDescent="0.2">
      <c r="A190">
        <v>8.9499999999999993</v>
      </c>
      <c r="B190">
        <f t="shared" si="6"/>
        <v>3.3704461915476978E-49</v>
      </c>
      <c r="C190">
        <f t="shared" si="7"/>
        <v>-3.3704461915476978E-49</v>
      </c>
      <c r="D190" s="27">
        <f t="shared" si="8"/>
        <v>2.7145328633433918E-49</v>
      </c>
    </row>
    <row r="191" spans="1:4" x14ac:dyDescent="0.2">
      <c r="A191">
        <v>9</v>
      </c>
      <c r="B191">
        <f t="shared" si="6"/>
        <v>1.808585660261563E-49</v>
      </c>
      <c r="C191">
        <f t="shared" si="7"/>
        <v>-1.808585660261563E-49</v>
      </c>
      <c r="D191" s="27">
        <f t="shared" si="8"/>
        <v>9.3150422390639262E-50</v>
      </c>
    </row>
    <row r="192" spans="1:4" x14ac:dyDescent="0.2">
      <c r="A192">
        <v>9.0500000000000007</v>
      </c>
      <c r="B192">
        <f t="shared" si="6"/>
        <v>9.7048933720012205E-50</v>
      </c>
      <c r="C192">
        <f t="shared" si="7"/>
        <v>-9.7048933720012205E-50</v>
      </c>
      <c r="D192" s="27">
        <f t="shared" si="8"/>
        <v>1.4098132692117821E-50</v>
      </c>
    </row>
    <row r="193" spans="1:4" x14ac:dyDescent="0.2">
      <c r="A193">
        <v>9.1</v>
      </c>
      <c r="B193">
        <f t="shared" si="6"/>
        <v>5.2076579744800826E-50</v>
      </c>
      <c r="C193">
        <f t="shared" si="7"/>
        <v>-5.2076579744800826E-50</v>
      </c>
      <c r="D193" s="27">
        <f t="shared" si="8"/>
        <v>-1.2858351564469608E-50</v>
      </c>
    </row>
    <row r="194" spans="1:4" x14ac:dyDescent="0.2">
      <c r="A194">
        <v>9.15</v>
      </c>
      <c r="B194">
        <f t="shared" si="6"/>
        <v>2.7944358108463119E-50</v>
      </c>
      <c r="C194">
        <f t="shared" si="7"/>
        <v>-2.7944358108463119E-50</v>
      </c>
      <c r="D194" s="27">
        <f t="shared" si="8"/>
        <v>-1.679495619094612E-50</v>
      </c>
    </row>
    <row r="195" spans="1:4" x14ac:dyDescent="0.2">
      <c r="A195">
        <v>9.1999999999999993</v>
      </c>
      <c r="B195">
        <f t="shared" si="6"/>
        <v>1.4994977664062573E-50</v>
      </c>
      <c r="C195">
        <f t="shared" si="7"/>
        <v>-1.4994977664062573E-50</v>
      </c>
      <c r="D195" s="27">
        <f t="shared" si="8"/>
        <v>-1.2932083344857617E-50</v>
      </c>
    </row>
    <row r="196" spans="1:4" x14ac:dyDescent="0.2">
      <c r="A196">
        <v>9.25</v>
      </c>
      <c r="B196">
        <f t="shared" si="6"/>
        <v>8.0463238508824019E-51</v>
      </c>
      <c r="C196">
        <f t="shared" si="7"/>
        <v>-8.0463238508824019E-51</v>
      </c>
      <c r="D196" s="27">
        <f t="shared" si="8"/>
        <v>-7.9725996086423721E-51</v>
      </c>
    </row>
    <row r="197" spans="1:4" x14ac:dyDescent="0.2">
      <c r="A197">
        <v>9.3000000000000007</v>
      </c>
      <c r="B197">
        <f t="shared" si="6"/>
        <v>4.3176674859907122E-51</v>
      </c>
      <c r="C197">
        <f t="shared" si="7"/>
        <v>-4.3176674859907122E-51</v>
      </c>
      <c r="D197" s="27">
        <f t="shared" si="8"/>
        <v>-4.1727685663778934E-51</v>
      </c>
    </row>
    <row r="198" spans="1:4" x14ac:dyDescent="0.2">
      <c r="A198">
        <v>9.35</v>
      </c>
      <c r="B198">
        <f t="shared" ref="B198:B242" si="9">$B$5*EXP(-$D$5*$C$5*A198)</f>
        <v>2.3168657967373776E-51</v>
      </c>
      <c r="C198">
        <f t="shared" ref="C198:C242" si="10">(-1)*$B$5*EXP(-$D$5*$C$5*A198)</f>
        <v>-2.3168657967373776E-51</v>
      </c>
      <c r="D198" s="27">
        <f t="shared" si="8"/>
        <v>-1.8372722131422716E-51</v>
      </c>
    </row>
    <row r="199" spans="1:4" x14ac:dyDescent="0.2">
      <c r="A199">
        <v>9.4</v>
      </c>
      <c r="B199">
        <f t="shared" si="9"/>
        <v>1.2432330969228599E-51</v>
      </c>
      <c r="C199">
        <f t="shared" si="10"/>
        <v>-1.2432330969228599E-51</v>
      </c>
      <c r="D199" s="27">
        <f t="shared" si="8"/>
        <v>-6.1821159996852737E-52</v>
      </c>
    </row>
    <row r="200" spans="1:4" x14ac:dyDescent="0.2">
      <c r="A200">
        <v>9.4499999999999993</v>
      </c>
      <c r="B200">
        <f t="shared" si="9"/>
        <v>6.6712044152967809E-52</v>
      </c>
      <c r="C200">
        <f t="shared" si="10"/>
        <v>-6.6712044152967809E-52</v>
      </c>
      <c r="D200" s="27">
        <f t="shared" si="8"/>
        <v>-8.3280539684384278E-53</v>
      </c>
    </row>
    <row r="201" spans="1:4" x14ac:dyDescent="0.2">
      <c r="A201">
        <v>9.5</v>
      </c>
      <c r="B201">
        <f t="shared" si="9"/>
        <v>3.5797766694620162E-52</v>
      </c>
      <c r="C201">
        <f t="shared" si="10"/>
        <v>-3.5797766694620162E-52</v>
      </c>
      <c r="D201" s="27">
        <f t="shared" si="8"/>
        <v>9.5523375450089791E-53</v>
      </c>
    </row>
    <row r="202" spans="1:4" x14ac:dyDescent="0.2">
      <c r="A202">
        <v>9.5500000000000007</v>
      </c>
      <c r="B202">
        <f t="shared" si="9"/>
        <v>1.9209126576665236E-52</v>
      </c>
      <c r="C202">
        <f t="shared" si="10"/>
        <v>-1.9209126576665236E-52</v>
      </c>
      <c r="D202" s="27">
        <f t="shared" si="8"/>
        <v>1.1859079903017369E-52</v>
      </c>
    </row>
    <row r="203" spans="1:4" x14ac:dyDescent="0.2">
      <c r="A203">
        <v>9.6</v>
      </c>
      <c r="B203">
        <f t="shared" si="9"/>
        <v>1.0307641451102473E-52</v>
      </c>
      <c r="C203">
        <f t="shared" si="10"/>
        <v>-1.0307641451102473E-52</v>
      </c>
      <c r="D203" s="27">
        <f t="shared" si="8"/>
        <v>8.9952918134849829E-53</v>
      </c>
    </row>
    <row r="204" spans="1:4" x14ac:dyDescent="0.2">
      <c r="A204">
        <v>9.65</v>
      </c>
      <c r="B204">
        <f t="shared" si="9"/>
        <v>5.5310933508839551E-53</v>
      </c>
      <c r="C204">
        <f t="shared" si="10"/>
        <v>-5.5310933508839551E-53</v>
      </c>
      <c r="D204" s="27">
        <f t="shared" ref="D204:D242" si="11">EXP(-$D$5*$C$5*A204)*($P$2*COS($E$5*A204)+$Q$2*SIN($E$5*A204))</f>
        <v>5.4946534790858656E-53</v>
      </c>
    </row>
    <row r="205" spans="1:4" x14ac:dyDescent="0.2">
      <c r="A205">
        <v>9.6999999999999993</v>
      </c>
      <c r="B205">
        <f t="shared" si="9"/>
        <v>2.9679916401168029E-53</v>
      </c>
      <c r="C205">
        <f t="shared" si="10"/>
        <v>-2.9679916401168029E-53</v>
      </c>
      <c r="D205" s="27">
        <f t="shared" si="11"/>
        <v>2.8520554017051899E-53</v>
      </c>
    </row>
    <row r="206" spans="1:4" x14ac:dyDescent="0.2">
      <c r="A206">
        <v>9.75</v>
      </c>
      <c r="B206">
        <f t="shared" si="9"/>
        <v>1.5926280424096065E-53</v>
      </c>
      <c r="C206">
        <f t="shared" si="10"/>
        <v>-1.5926280424096065E-53</v>
      </c>
      <c r="D206" s="27">
        <f t="shared" si="11"/>
        <v>1.2426767165809495E-53</v>
      </c>
    </row>
    <row r="207" spans="1:4" x14ac:dyDescent="0.2">
      <c r="A207">
        <v>9.8000000000000007</v>
      </c>
      <c r="B207">
        <f t="shared" si="9"/>
        <v>8.5460620817975046E-54</v>
      </c>
      <c r="C207">
        <f t="shared" si="10"/>
        <v>-8.5460620817975046E-54</v>
      </c>
      <c r="D207" s="27">
        <f t="shared" si="11"/>
        <v>4.095830983426577E-54</v>
      </c>
    </row>
    <row r="208" spans="1:4" x14ac:dyDescent="0.2">
      <c r="A208">
        <v>9.85</v>
      </c>
      <c r="B208">
        <f t="shared" si="9"/>
        <v>4.5858276484595093E-54</v>
      </c>
      <c r="C208">
        <f t="shared" si="10"/>
        <v>-4.5858276484595093E-54</v>
      </c>
      <c r="D208" s="27">
        <f t="shared" si="11"/>
        <v>4.7853249575897063E-55</v>
      </c>
    </row>
    <row r="209" spans="1:4" x14ac:dyDescent="0.2">
      <c r="A209">
        <v>9.9</v>
      </c>
      <c r="B209">
        <f t="shared" si="9"/>
        <v>2.4607608767747385E-54</v>
      </c>
      <c r="C209">
        <f t="shared" si="10"/>
        <v>-2.4607608767747385E-54</v>
      </c>
      <c r="D209" s="27">
        <f t="shared" si="11"/>
        <v>-7.0539579648728916E-55</v>
      </c>
    </row>
    <row r="210" spans="1:4" x14ac:dyDescent="0.2">
      <c r="A210">
        <v>9.9499999999999993</v>
      </c>
      <c r="B210">
        <f t="shared" si="9"/>
        <v>1.3204473776286385E-54</v>
      </c>
      <c r="C210">
        <f t="shared" si="10"/>
        <v>-1.3204473776286385E-54</v>
      </c>
      <c r="D210" s="27">
        <f t="shared" si="11"/>
        <v>-8.3644685332061165E-55</v>
      </c>
    </row>
    <row r="211" spans="1:4" x14ac:dyDescent="0.2">
      <c r="A211">
        <v>10</v>
      </c>
      <c r="B211">
        <f t="shared" si="9"/>
        <v>7.0855372155118552E-55</v>
      </c>
      <c r="C211">
        <f t="shared" si="10"/>
        <v>-7.0855372155118552E-55</v>
      </c>
      <c r="D211" s="27">
        <f t="shared" si="11"/>
        <v>-6.2534470723747149E-55</v>
      </c>
    </row>
    <row r="212" spans="1:4" x14ac:dyDescent="0.2">
      <c r="A212">
        <v>10.050000000000001</v>
      </c>
      <c r="B212">
        <f t="shared" si="9"/>
        <v>3.8021081705327723E-55</v>
      </c>
      <c r="C212">
        <f t="shared" si="10"/>
        <v>-3.8021081705327723E-55</v>
      </c>
      <c r="D212" s="27">
        <f t="shared" si="11"/>
        <v>-3.7852407365144242E-55</v>
      </c>
    </row>
    <row r="213" spans="1:4" x14ac:dyDescent="0.2">
      <c r="A213">
        <v>10.1</v>
      </c>
      <c r="B213">
        <f t="shared" si="9"/>
        <v>2.0402160204288724E-55</v>
      </c>
      <c r="C213">
        <f t="shared" si="10"/>
        <v>-2.0402160204288724E-55</v>
      </c>
      <c r="D213" s="27">
        <f t="shared" si="11"/>
        <v>-1.9484604377201778E-55</v>
      </c>
    </row>
    <row r="214" spans="1:4" x14ac:dyDescent="0.2">
      <c r="A214">
        <v>10.15</v>
      </c>
      <c r="B214">
        <f t="shared" si="9"/>
        <v>1.0947824794346386E-55</v>
      </c>
      <c r="C214">
        <f t="shared" si="10"/>
        <v>-1.0947824794346386E-55</v>
      </c>
      <c r="D214" s="27">
        <f t="shared" si="11"/>
        <v>-8.3992285665458932E-56</v>
      </c>
    </row>
    <row r="215" spans="1:4" x14ac:dyDescent="0.2">
      <c r="A215">
        <v>10.199999999999999</v>
      </c>
      <c r="B215">
        <f t="shared" si="9"/>
        <v>5.8746165370524131E-56</v>
      </c>
      <c r="C215">
        <f t="shared" si="10"/>
        <v>-5.8746165370524131E-56</v>
      </c>
      <c r="D215" s="27">
        <f t="shared" si="11"/>
        <v>-2.7085834571224631E-56</v>
      </c>
    </row>
    <row r="216" spans="1:4" x14ac:dyDescent="0.2">
      <c r="A216">
        <v>10.25</v>
      </c>
      <c r="B216">
        <f t="shared" si="9"/>
        <v>3.1523266133406471E-56</v>
      </c>
      <c r="C216">
        <f t="shared" si="10"/>
        <v>-3.1523266133406471E-56</v>
      </c>
      <c r="D216" s="27">
        <f t="shared" si="11"/>
        <v>-2.6422924466370486E-57</v>
      </c>
    </row>
    <row r="217" spans="1:4" x14ac:dyDescent="0.2">
      <c r="A217">
        <v>10.3</v>
      </c>
      <c r="B217">
        <f t="shared" si="9"/>
        <v>1.6915424205988569E-56</v>
      </c>
      <c r="C217">
        <f t="shared" si="10"/>
        <v>-1.6915424205988569E-56</v>
      </c>
      <c r="D217" s="27">
        <f t="shared" si="11"/>
        <v>5.1820668490717985E-57</v>
      </c>
    </row>
    <row r="218" spans="1:4" x14ac:dyDescent="0.2">
      <c r="A218">
        <v>10.35</v>
      </c>
      <c r="B218">
        <f t="shared" si="9"/>
        <v>9.0768378777011023E-57</v>
      </c>
      <c r="C218">
        <f t="shared" si="10"/>
        <v>-9.0768378777011023E-57</v>
      </c>
      <c r="D218" s="27">
        <f t="shared" si="11"/>
        <v>5.893391216675802E-57</v>
      </c>
    </row>
    <row r="219" spans="1:4" x14ac:dyDescent="0.2">
      <c r="A219">
        <v>10.4</v>
      </c>
      <c r="B219">
        <f t="shared" si="9"/>
        <v>4.8706426072896789E-57</v>
      </c>
      <c r="C219">
        <f t="shared" si="10"/>
        <v>-4.8706426072896789E-57</v>
      </c>
      <c r="D219" s="27">
        <f t="shared" si="11"/>
        <v>4.3449678081497614E-57</v>
      </c>
    </row>
    <row r="220" spans="1:4" x14ac:dyDescent="0.2">
      <c r="A220">
        <v>10.45</v>
      </c>
      <c r="B220">
        <f t="shared" si="9"/>
        <v>2.6135929414610173E-57</v>
      </c>
      <c r="C220">
        <f t="shared" si="10"/>
        <v>-2.6135929414610173E-57</v>
      </c>
      <c r="D220" s="27">
        <f t="shared" si="11"/>
        <v>2.606515739846952E-57</v>
      </c>
    </row>
    <row r="221" spans="1:4" x14ac:dyDescent="0.2">
      <c r="A221">
        <v>10.5</v>
      </c>
      <c r="B221">
        <f t="shared" si="9"/>
        <v>1.4024572555234063E-57</v>
      </c>
      <c r="C221">
        <f t="shared" si="10"/>
        <v>-1.4024572555234063E-57</v>
      </c>
      <c r="D221" s="27">
        <f t="shared" si="11"/>
        <v>1.3305240149377456E-57</v>
      </c>
    </row>
    <row r="222" spans="1:4" x14ac:dyDescent="0.2">
      <c r="A222">
        <v>10.55</v>
      </c>
      <c r="B222">
        <f t="shared" si="9"/>
        <v>7.5256032504845286E-58</v>
      </c>
      <c r="C222">
        <f t="shared" si="10"/>
        <v>-7.5256032504845286E-58</v>
      </c>
      <c r="D222" s="27">
        <f t="shared" si="11"/>
        <v>5.6729218207236988E-58</v>
      </c>
    </row>
    <row r="223" spans="1:4" x14ac:dyDescent="0.2">
      <c r="A223">
        <v>10.6</v>
      </c>
      <c r="B223">
        <f t="shared" si="9"/>
        <v>4.0382481576999551E-58</v>
      </c>
      <c r="C223">
        <f t="shared" si="10"/>
        <v>-4.0382481576999551E-58</v>
      </c>
      <c r="D223" s="27">
        <f t="shared" si="11"/>
        <v>1.7876104651023729E-58</v>
      </c>
    </row>
    <row r="224" spans="1:4" x14ac:dyDescent="0.2">
      <c r="A224">
        <v>10.65</v>
      </c>
      <c r="B224">
        <f t="shared" si="9"/>
        <v>2.1669290341763818E-58</v>
      </c>
      <c r="C224">
        <f t="shared" si="10"/>
        <v>-2.1669290341763818E-58</v>
      </c>
      <c r="D224" s="27">
        <f t="shared" si="11"/>
        <v>1.3706873646224394E-59</v>
      </c>
    </row>
    <row r="225" spans="1:4" x14ac:dyDescent="0.2">
      <c r="A225">
        <v>10.7</v>
      </c>
      <c r="B225">
        <f t="shared" si="9"/>
        <v>1.1627768417855627E-58</v>
      </c>
      <c r="C225">
        <f t="shared" si="10"/>
        <v>-1.1627768417855627E-58</v>
      </c>
      <c r="D225" s="27">
        <f t="shared" si="11"/>
        <v>-3.7896674112047296E-59</v>
      </c>
    </row>
    <row r="226" spans="1:4" x14ac:dyDescent="0.2">
      <c r="A226">
        <v>10.75</v>
      </c>
      <c r="B226">
        <f t="shared" si="9"/>
        <v>6.2394751395567757E-59</v>
      </c>
      <c r="C226">
        <f t="shared" si="10"/>
        <v>-6.2394751395567757E-59</v>
      </c>
      <c r="D226" s="27">
        <f t="shared" si="11"/>
        <v>-4.1481450217872105E-59</v>
      </c>
    </row>
    <row r="227" spans="1:4" x14ac:dyDescent="0.2">
      <c r="A227">
        <v>10.8</v>
      </c>
      <c r="B227">
        <f t="shared" si="9"/>
        <v>3.3481101977715288E-59</v>
      </c>
      <c r="C227">
        <f t="shared" si="10"/>
        <v>-3.3481101977715288E-59</v>
      </c>
      <c r="D227" s="27">
        <f t="shared" si="11"/>
        <v>-3.017321171158481E-59</v>
      </c>
    </row>
    <row r="228" spans="1:4" x14ac:dyDescent="0.2">
      <c r="A228">
        <v>10.85</v>
      </c>
      <c r="B228">
        <f t="shared" si="9"/>
        <v>1.7966001379433852E-59</v>
      </c>
      <c r="C228">
        <f t="shared" si="10"/>
        <v>-1.7966001379433852E-59</v>
      </c>
      <c r="D228" s="27">
        <f t="shared" si="11"/>
        <v>-1.7940787157439609E-59</v>
      </c>
    </row>
    <row r="229" spans="1:4" x14ac:dyDescent="0.2">
      <c r="A229">
        <v>10.9</v>
      </c>
      <c r="B229">
        <f t="shared" si="9"/>
        <v>9.6405789086824986E-60</v>
      </c>
      <c r="C229">
        <f t="shared" si="10"/>
        <v>-9.6405789086824986E-60</v>
      </c>
      <c r="D229" s="27">
        <f t="shared" si="11"/>
        <v>-9.0813126427270171E-60</v>
      </c>
    </row>
    <row r="230" spans="1:4" x14ac:dyDescent="0.2">
      <c r="A230">
        <v>10.95</v>
      </c>
      <c r="B230">
        <f t="shared" si="9"/>
        <v>5.1731467526728312E-60</v>
      </c>
      <c r="C230">
        <f t="shared" si="10"/>
        <v>-5.1731467526728312E-60</v>
      </c>
      <c r="D230" s="27">
        <f t="shared" si="11"/>
        <v>-3.8286803173098334E-60</v>
      </c>
    </row>
    <row r="231" spans="1:4" x14ac:dyDescent="0.2">
      <c r="A231">
        <v>11</v>
      </c>
      <c r="B231">
        <f t="shared" si="9"/>
        <v>2.7759170458723762E-60</v>
      </c>
      <c r="C231">
        <f t="shared" si="10"/>
        <v>-2.7759170458723762E-60</v>
      </c>
      <c r="D231" s="27">
        <f t="shared" si="11"/>
        <v>-1.1772268980730202E-60</v>
      </c>
    </row>
    <row r="232" spans="1:4" x14ac:dyDescent="0.2">
      <c r="A232">
        <v>11.05</v>
      </c>
      <c r="B232">
        <f t="shared" si="9"/>
        <v>1.4895605738583536E-60</v>
      </c>
      <c r="C232">
        <f t="shared" si="10"/>
        <v>-1.4895605738583536E-60</v>
      </c>
      <c r="D232" s="27">
        <f t="shared" si="11"/>
        <v>-6.3548199185013003E-62</v>
      </c>
    </row>
    <row r="233" spans="1:4" x14ac:dyDescent="0.2">
      <c r="A233">
        <v>11.1</v>
      </c>
      <c r="B233">
        <f t="shared" si="9"/>
        <v>7.9930007508417356E-61</v>
      </c>
      <c r="C233">
        <f t="shared" si="10"/>
        <v>-7.9930007508417356E-61</v>
      </c>
      <c r="D233" s="27">
        <f t="shared" si="11"/>
        <v>2.7603060288071728E-61</v>
      </c>
    </row>
    <row r="234" spans="1:4" x14ac:dyDescent="0.2">
      <c r="A234">
        <v>11.15</v>
      </c>
      <c r="B234">
        <f t="shared" si="9"/>
        <v>4.2890542435256368E-61</v>
      </c>
      <c r="C234">
        <f t="shared" si="10"/>
        <v>-4.2890542435256368E-61</v>
      </c>
      <c r="D234" s="27">
        <f t="shared" si="11"/>
        <v>2.916920519073867E-61</v>
      </c>
    </row>
    <row r="235" spans="1:4" x14ac:dyDescent="0.2">
      <c r="A235">
        <v>11.2</v>
      </c>
      <c r="B235">
        <f t="shared" si="9"/>
        <v>2.3015118948873527E-61</v>
      </c>
      <c r="C235">
        <f t="shared" si="10"/>
        <v>-2.3015118948873527E-61</v>
      </c>
      <c r="D235" s="27">
        <f t="shared" si="11"/>
        <v>2.0942527226101993E-61</v>
      </c>
    </row>
    <row r="236" spans="1:4" x14ac:dyDescent="0.2">
      <c r="A236">
        <v>11.25</v>
      </c>
      <c r="B236">
        <f t="shared" si="9"/>
        <v>1.2349941739029001E-61</v>
      </c>
      <c r="C236">
        <f t="shared" si="10"/>
        <v>-1.2349941739029001E-61</v>
      </c>
      <c r="D236" s="27">
        <f t="shared" si="11"/>
        <v>1.2343474282532457E-61</v>
      </c>
    </row>
    <row r="237" spans="1:4" x14ac:dyDescent="0.2">
      <c r="A237">
        <v>11.3</v>
      </c>
      <c r="B237">
        <f t="shared" si="9"/>
        <v>6.6269942508761228E-62</v>
      </c>
      <c r="C237">
        <f t="shared" si="10"/>
        <v>-6.6269942508761228E-62</v>
      </c>
      <c r="D237" s="27">
        <f t="shared" si="11"/>
        <v>6.1953576397051589E-62</v>
      </c>
    </row>
    <row r="238" spans="1:4" x14ac:dyDescent="0.2">
      <c r="A238">
        <v>11.35</v>
      </c>
      <c r="B238">
        <f t="shared" si="9"/>
        <v>3.5560534396981993E-62</v>
      </c>
      <c r="C238">
        <f t="shared" si="10"/>
        <v>-3.5560534396981993E-62</v>
      </c>
      <c r="D238" s="27">
        <f t="shared" si="11"/>
        <v>2.5819876520978377E-62</v>
      </c>
    </row>
    <row r="239" spans="1:4" x14ac:dyDescent="0.2">
      <c r="A239">
        <v>11.4</v>
      </c>
      <c r="B239">
        <f t="shared" si="9"/>
        <v>1.9081827427746561E-62</v>
      </c>
      <c r="C239">
        <f t="shared" si="10"/>
        <v>-1.9081827427746561E-62</v>
      </c>
      <c r="D239" s="27">
        <f t="shared" si="11"/>
        <v>7.734272939067162E-63</v>
      </c>
    </row>
    <row r="240" spans="1:4" x14ac:dyDescent="0.2">
      <c r="A240">
        <v>11.45</v>
      </c>
      <c r="B240">
        <f t="shared" si="9"/>
        <v>1.0239332567882442E-62</v>
      </c>
      <c r="C240">
        <f t="shared" si="10"/>
        <v>-1.0239332567882442E-62</v>
      </c>
      <c r="D240" s="27">
        <f t="shared" si="11"/>
        <v>2.2579555056947455E-64</v>
      </c>
    </row>
    <row r="241" spans="1:4" x14ac:dyDescent="0.2">
      <c r="A241">
        <v>11.5</v>
      </c>
      <c r="B241">
        <f t="shared" si="9"/>
        <v>5.4944387183401155E-63</v>
      </c>
      <c r="C241">
        <f t="shared" si="10"/>
        <v>-5.4944387183401155E-63</v>
      </c>
      <c r="D241" s="27">
        <f t="shared" si="11"/>
        <v>-2.003374849197664E-63</v>
      </c>
    </row>
    <row r="242" spans="1:4" x14ac:dyDescent="0.2">
      <c r="A242">
        <v>11.55</v>
      </c>
      <c r="B242">
        <f t="shared" si="9"/>
        <v>2.9483227182489451E-63</v>
      </c>
      <c r="C242">
        <f t="shared" si="10"/>
        <v>-2.9483227182489451E-63</v>
      </c>
      <c r="D242" s="27">
        <f t="shared" si="11"/>
        <v>-2.0492541501891009E-63</v>
      </c>
    </row>
  </sheetData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6"/>
  <dimension ref="D2:R30"/>
  <sheetViews>
    <sheetView zoomScale="60" zoomScaleNormal="60" workbookViewId="0">
      <selection activeCell="T9" sqref="T9"/>
    </sheetView>
  </sheetViews>
  <sheetFormatPr defaultRowHeight="12.75" x14ac:dyDescent="0.2"/>
  <cols>
    <col min="6" max="7" width="20.140625" bestFit="1" customWidth="1"/>
    <col min="8" max="8" width="19.28515625" bestFit="1" customWidth="1"/>
    <col min="9" max="9" width="20.85546875" customWidth="1"/>
    <col min="10" max="10" width="21.42578125" customWidth="1"/>
    <col min="11" max="11" width="24.85546875" customWidth="1"/>
    <col min="12" max="12" width="19.42578125" customWidth="1"/>
    <col min="13" max="13" width="17.85546875" customWidth="1"/>
    <col min="15" max="15" width="20.5703125" customWidth="1"/>
    <col min="16" max="16" width="22" customWidth="1"/>
    <col min="18" max="18" width="18.7109375" bestFit="1" customWidth="1"/>
  </cols>
  <sheetData>
    <row r="2" spans="4:18" x14ac:dyDescent="0.2">
      <c r="D2" s="63"/>
    </row>
    <row r="3" spans="4:18" ht="24" thickBot="1" x14ac:dyDescent="0.4">
      <c r="F3" s="44" t="s">
        <v>46</v>
      </c>
      <c r="G3" s="44" t="s">
        <v>49</v>
      </c>
      <c r="H3" s="44" t="s">
        <v>120</v>
      </c>
      <c r="I3" s="44" t="s">
        <v>48</v>
      </c>
      <c r="J3" s="44" t="s">
        <v>35</v>
      </c>
      <c r="K3" s="44" t="s">
        <v>35</v>
      </c>
      <c r="L3" s="44" t="s">
        <v>34</v>
      </c>
      <c r="M3" s="44" t="s">
        <v>183</v>
      </c>
      <c r="R3" s="33" t="s">
        <v>354</v>
      </c>
    </row>
    <row r="4" spans="4:18" ht="27" thickBot="1" x14ac:dyDescent="0.5">
      <c r="F4" s="50" t="s">
        <v>35</v>
      </c>
      <c r="G4" s="50" t="s">
        <v>34</v>
      </c>
      <c r="H4" s="51" t="s">
        <v>35</v>
      </c>
      <c r="I4" s="51" t="s">
        <v>39</v>
      </c>
      <c r="J4" s="50" t="s">
        <v>210</v>
      </c>
      <c r="K4" s="50" t="s">
        <v>211</v>
      </c>
      <c r="L4" s="67" t="s">
        <v>33</v>
      </c>
      <c r="M4" s="68" t="s">
        <v>182</v>
      </c>
      <c r="O4" s="46" t="s">
        <v>83</v>
      </c>
      <c r="P4" s="47" t="s">
        <v>49</v>
      </c>
      <c r="R4" s="44" t="s">
        <v>355</v>
      </c>
    </row>
    <row r="5" spans="4:18" ht="24" thickBot="1" x14ac:dyDescent="0.4">
      <c r="F5" s="117">
        <v>6</v>
      </c>
      <c r="G5" s="117">
        <v>2500</v>
      </c>
      <c r="H5" s="117">
        <v>0.15</v>
      </c>
      <c r="I5" s="62">
        <f>(G5/F5)^0.5</f>
        <v>20.412414523193153</v>
      </c>
      <c r="J5" s="117">
        <v>0.05</v>
      </c>
      <c r="K5" s="64">
        <f>H5*F5*9.81/G5</f>
        <v>3.5315999999999993E-3</v>
      </c>
      <c r="L5" s="62">
        <f>6.28/I5</f>
        <v>0.30765591169356715</v>
      </c>
      <c r="M5" s="62">
        <f>1/L5</f>
        <v>3.2503844782154703</v>
      </c>
      <c r="O5" s="48" t="s">
        <v>41</v>
      </c>
      <c r="P5" s="49" t="s">
        <v>34</v>
      </c>
      <c r="R5" s="170">
        <f>(J5-K5)/2/K5</f>
        <v>6.5789443878128919</v>
      </c>
    </row>
    <row r="6" spans="4:18" ht="24" thickBot="1" x14ac:dyDescent="0.4">
      <c r="O6" s="55">
        <v>0.4</v>
      </c>
      <c r="P6" s="56">
        <f>1000/O6</f>
        <v>2500</v>
      </c>
    </row>
    <row r="7" spans="4:18" ht="23.25" x14ac:dyDescent="0.35">
      <c r="E7" s="7" t="s">
        <v>164</v>
      </c>
      <c r="H7" s="66" t="s">
        <v>181</v>
      </c>
      <c r="O7" s="43" t="s">
        <v>107</v>
      </c>
      <c r="P7" s="43"/>
    </row>
    <row r="8" spans="4:18" ht="15.75" x14ac:dyDescent="0.25">
      <c r="E8" s="4">
        <v>0</v>
      </c>
      <c r="F8" s="7" t="s">
        <v>157</v>
      </c>
      <c r="G8" s="65">
        <f>$J$5-2*E8*$K$5</f>
        <v>0.05</v>
      </c>
      <c r="H8" s="66">
        <f>IF(G8&gt;$K$5,1,0)</f>
        <v>1</v>
      </c>
    </row>
    <row r="9" spans="4:18" ht="18" x14ac:dyDescent="0.25">
      <c r="E9" s="4">
        <v>1</v>
      </c>
      <c r="F9" s="7" t="s">
        <v>158</v>
      </c>
      <c r="G9" s="65">
        <f t="shared" ref="G9:G30" si="0">$J$5-2*E9*$K$5</f>
        <v>4.2936800000000004E-2</v>
      </c>
      <c r="H9" s="66">
        <f t="shared" ref="H9:H30" si="1">IF(G9&gt;$K$5,1,0)</f>
        <v>1</v>
      </c>
      <c r="P9" s="29" t="s">
        <v>80</v>
      </c>
    </row>
    <row r="10" spans="4:18" ht="15.75" x14ac:dyDescent="0.25">
      <c r="E10" s="4">
        <v>2</v>
      </c>
      <c r="F10" s="7" t="s">
        <v>159</v>
      </c>
      <c r="G10" s="65">
        <f t="shared" si="0"/>
        <v>3.5873600000000005E-2</v>
      </c>
      <c r="H10" s="66">
        <f t="shared" si="1"/>
        <v>1</v>
      </c>
    </row>
    <row r="11" spans="4:18" ht="15.75" x14ac:dyDescent="0.25">
      <c r="E11" s="4">
        <v>3</v>
      </c>
      <c r="F11" s="7" t="s">
        <v>160</v>
      </c>
      <c r="G11" s="65">
        <f t="shared" si="0"/>
        <v>2.8810400000000007E-2</v>
      </c>
      <c r="H11" s="66">
        <f t="shared" si="1"/>
        <v>1</v>
      </c>
    </row>
    <row r="12" spans="4:18" ht="15.75" x14ac:dyDescent="0.25">
      <c r="E12" s="4">
        <v>4</v>
      </c>
      <c r="F12" s="7" t="s">
        <v>161</v>
      </c>
      <c r="G12" s="65">
        <f t="shared" si="0"/>
        <v>2.1747200000000008E-2</v>
      </c>
      <c r="H12" s="66">
        <f t="shared" si="1"/>
        <v>1</v>
      </c>
    </row>
    <row r="13" spans="4:18" ht="15.75" x14ac:dyDescent="0.25">
      <c r="E13" s="4">
        <v>5</v>
      </c>
      <c r="F13" s="7" t="s">
        <v>162</v>
      </c>
      <c r="G13" s="65">
        <f t="shared" si="0"/>
        <v>1.468400000000001E-2</v>
      </c>
      <c r="H13" s="66">
        <f t="shared" si="1"/>
        <v>1</v>
      </c>
    </row>
    <row r="14" spans="4:18" ht="15.75" x14ac:dyDescent="0.25">
      <c r="E14" s="4">
        <v>6</v>
      </c>
      <c r="F14" s="7" t="s">
        <v>163</v>
      </c>
      <c r="G14" s="65">
        <f t="shared" si="0"/>
        <v>7.6208000000000109E-3</v>
      </c>
      <c r="H14" s="66">
        <f t="shared" si="1"/>
        <v>1</v>
      </c>
    </row>
    <row r="15" spans="4:18" ht="15.75" x14ac:dyDescent="0.25">
      <c r="E15" s="4">
        <v>7</v>
      </c>
      <c r="F15" s="7" t="s">
        <v>165</v>
      </c>
      <c r="G15" s="65">
        <f t="shared" si="0"/>
        <v>5.5760000000001225E-4</v>
      </c>
      <c r="H15" s="66">
        <f t="shared" si="1"/>
        <v>0</v>
      </c>
    </row>
    <row r="16" spans="4:18" ht="15.75" x14ac:dyDescent="0.25">
      <c r="E16" s="4">
        <v>8</v>
      </c>
      <c r="F16" s="7" t="s">
        <v>166</v>
      </c>
      <c r="G16" s="65">
        <f t="shared" si="0"/>
        <v>-6.5055999999999864E-3</v>
      </c>
      <c r="H16" s="66">
        <f t="shared" si="1"/>
        <v>0</v>
      </c>
    </row>
    <row r="17" spans="5:8" ht="15.75" x14ac:dyDescent="0.25">
      <c r="E17" s="4">
        <v>9</v>
      </c>
      <c r="F17" s="7" t="s">
        <v>167</v>
      </c>
      <c r="G17" s="65">
        <f t="shared" si="0"/>
        <v>-1.3568799999999978E-2</v>
      </c>
      <c r="H17" s="66">
        <f t="shared" si="1"/>
        <v>0</v>
      </c>
    </row>
    <row r="18" spans="5:8" ht="15.75" x14ac:dyDescent="0.25">
      <c r="E18" s="4">
        <v>10</v>
      </c>
      <c r="F18" s="7" t="s">
        <v>168</v>
      </c>
      <c r="G18" s="65">
        <f t="shared" si="0"/>
        <v>-2.0631999999999984E-2</v>
      </c>
      <c r="H18" s="66">
        <f t="shared" si="1"/>
        <v>0</v>
      </c>
    </row>
    <row r="19" spans="5:8" ht="15.75" x14ac:dyDescent="0.25">
      <c r="E19" s="4">
        <v>11</v>
      </c>
      <c r="F19" s="7" t="s">
        <v>169</v>
      </c>
      <c r="G19" s="65">
        <f t="shared" si="0"/>
        <v>-2.7695199999999989E-2</v>
      </c>
      <c r="H19" s="66">
        <f t="shared" si="1"/>
        <v>0</v>
      </c>
    </row>
    <row r="20" spans="5:8" ht="15.75" x14ac:dyDescent="0.25">
      <c r="E20" s="4">
        <v>12</v>
      </c>
      <c r="F20" s="7" t="s">
        <v>170</v>
      </c>
      <c r="G20" s="65">
        <f t="shared" si="0"/>
        <v>-3.4758399999999981E-2</v>
      </c>
      <c r="H20" s="66">
        <f t="shared" si="1"/>
        <v>0</v>
      </c>
    </row>
    <row r="21" spans="5:8" ht="15.75" x14ac:dyDescent="0.25">
      <c r="E21" s="4">
        <v>13</v>
      </c>
      <c r="F21" s="7" t="s">
        <v>171</v>
      </c>
      <c r="G21" s="65">
        <f t="shared" si="0"/>
        <v>-4.1821599999999973E-2</v>
      </c>
      <c r="H21" s="66">
        <f t="shared" si="1"/>
        <v>0</v>
      </c>
    </row>
    <row r="22" spans="5:8" ht="15.75" x14ac:dyDescent="0.25">
      <c r="E22" s="4">
        <v>14</v>
      </c>
      <c r="F22" s="7" t="s">
        <v>172</v>
      </c>
      <c r="G22" s="65">
        <f t="shared" si="0"/>
        <v>-4.8884799999999978E-2</v>
      </c>
      <c r="H22" s="66">
        <f t="shared" si="1"/>
        <v>0</v>
      </c>
    </row>
    <row r="23" spans="5:8" ht="15.75" x14ac:dyDescent="0.25">
      <c r="E23" s="4">
        <v>15</v>
      </c>
      <c r="F23" s="7" t="s">
        <v>173</v>
      </c>
      <c r="G23" s="65">
        <f t="shared" si="0"/>
        <v>-5.5947999999999984E-2</v>
      </c>
      <c r="H23" s="66">
        <f t="shared" si="1"/>
        <v>0</v>
      </c>
    </row>
    <row r="24" spans="5:8" ht="15.75" x14ac:dyDescent="0.25">
      <c r="E24" s="4">
        <v>16</v>
      </c>
      <c r="F24" s="7" t="s">
        <v>174</v>
      </c>
      <c r="G24" s="65">
        <f t="shared" si="0"/>
        <v>-6.3011199999999976E-2</v>
      </c>
      <c r="H24" s="66">
        <f t="shared" si="1"/>
        <v>0</v>
      </c>
    </row>
    <row r="25" spans="5:8" ht="15.75" x14ac:dyDescent="0.25">
      <c r="E25" s="4">
        <v>17</v>
      </c>
      <c r="F25" s="7" t="s">
        <v>175</v>
      </c>
      <c r="G25" s="65">
        <f t="shared" si="0"/>
        <v>-7.0074399999999967E-2</v>
      </c>
      <c r="H25" s="66">
        <f t="shared" si="1"/>
        <v>0</v>
      </c>
    </row>
    <row r="26" spans="5:8" ht="15.75" x14ac:dyDescent="0.25">
      <c r="E26" s="4">
        <v>18</v>
      </c>
      <c r="F26" s="7" t="s">
        <v>176</v>
      </c>
      <c r="G26" s="65">
        <f t="shared" si="0"/>
        <v>-7.7137599999999959E-2</v>
      </c>
      <c r="H26" s="66">
        <f t="shared" si="1"/>
        <v>0</v>
      </c>
    </row>
    <row r="27" spans="5:8" ht="15.75" x14ac:dyDescent="0.25">
      <c r="E27" s="4">
        <v>19</v>
      </c>
      <c r="F27" s="7" t="s">
        <v>177</v>
      </c>
      <c r="G27" s="65">
        <f t="shared" si="0"/>
        <v>-8.4200799999999978E-2</v>
      </c>
      <c r="H27" s="66">
        <f t="shared" si="1"/>
        <v>0</v>
      </c>
    </row>
    <row r="28" spans="5:8" ht="15.75" x14ac:dyDescent="0.25">
      <c r="E28" s="4">
        <v>20</v>
      </c>
      <c r="F28" s="7" t="s">
        <v>178</v>
      </c>
      <c r="G28" s="65">
        <f t="shared" si="0"/>
        <v>-9.126399999999997E-2</v>
      </c>
      <c r="H28" s="66">
        <f t="shared" si="1"/>
        <v>0</v>
      </c>
    </row>
    <row r="29" spans="5:8" ht="15.75" x14ac:dyDescent="0.25">
      <c r="E29" s="4">
        <v>21</v>
      </c>
      <c r="F29" s="7" t="s">
        <v>179</v>
      </c>
      <c r="G29" s="65">
        <f t="shared" si="0"/>
        <v>-9.8327199999999962E-2</v>
      </c>
      <c r="H29" s="66">
        <f t="shared" si="1"/>
        <v>0</v>
      </c>
    </row>
    <row r="30" spans="5:8" ht="15.75" x14ac:dyDescent="0.25">
      <c r="E30" s="4">
        <v>22</v>
      </c>
      <c r="F30" s="7" t="s">
        <v>180</v>
      </c>
      <c r="G30" s="65">
        <f t="shared" si="0"/>
        <v>-0.10539039999999998</v>
      </c>
      <c r="H30" s="66">
        <f t="shared" si="1"/>
        <v>0</v>
      </c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7"/>
  <dimension ref="A1:AX400"/>
  <sheetViews>
    <sheetView topLeftCell="G1" zoomScale="50" zoomScaleNormal="50" workbookViewId="0">
      <selection activeCell="AB16" sqref="AB16"/>
    </sheetView>
  </sheetViews>
  <sheetFormatPr defaultRowHeight="12.75" x14ac:dyDescent="0.2"/>
  <cols>
    <col min="13" max="15" width="16.5703125" bestFit="1" customWidth="1"/>
    <col min="16" max="16" width="17.5703125" bestFit="1" customWidth="1"/>
    <col min="17" max="17" width="16.5703125" bestFit="1" customWidth="1"/>
    <col min="19" max="19" width="16.5703125" bestFit="1" customWidth="1"/>
    <col min="20" max="20" width="18.28515625" customWidth="1"/>
    <col min="21" max="21" width="18.140625" customWidth="1"/>
    <col min="22" max="22" width="17.85546875" customWidth="1"/>
    <col min="23" max="23" width="19.42578125" customWidth="1"/>
    <col min="24" max="24" width="16.5703125" bestFit="1" customWidth="1"/>
    <col min="25" max="25" width="20.28515625" customWidth="1"/>
    <col min="26" max="26" width="16.5703125" bestFit="1" customWidth="1"/>
    <col min="27" max="27" width="15.85546875" bestFit="1" customWidth="1"/>
    <col min="29" max="29" width="15.85546875" bestFit="1" customWidth="1"/>
    <col min="30" max="30" width="16.5703125" bestFit="1" customWidth="1"/>
    <col min="32" max="32" width="16.5703125" bestFit="1" customWidth="1"/>
    <col min="33" max="33" width="17.5703125" bestFit="1" customWidth="1"/>
    <col min="34" max="34" width="15.85546875" bestFit="1" customWidth="1"/>
    <col min="35" max="37" width="16.5703125" bestFit="1" customWidth="1"/>
    <col min="38" max="38" width="15.85546875" bestFit="1" customWidth="1"/>
    <col min="39" max="39" width="16.5703125" bestFit="1" customWidth="1"/>
    <col min="40" max="40" width="15.85546875" bestFit="1" customWidth="1"/>
    <col min="44" max="45" width="17.7109375" customWidth="1"/>
    <col min="46" max="46" width="31.85546875" customWidth="1"/>
    <col min="47" max="47" width="18.140625" customWidth="1"/>
    <col min="49" max="49" width="18.42578125" customWidth="1"/>
  </cols>
  <sheetData>
    <row r="1" spans="1:50" ht="18" x14ac:dyDescent="0.25">
      <c r="M1" s="34" t="s">
        <v>46</v>
      </c>
      <c r="N1" s="34" t="s">
        <v>49</v>
      </c>
      <c r="O1" s="34" t="s">
        <v>47</v>
      </c>
      <c r="P1" s="34" t="s">
        <v>7</v>
      </c>
      <c r="Q1" s="34" t="s">
        <v>48</v>
      </c>
      <c r="R1" s="34" t="s">
        <v>81</v>
      </c>
      <c r="S1" s="34" t="s">
        <v>48</v>
      </c>
      <c r="T1" s="34"/>
      <c r="U1" s="34" t="s">
        <v>35</v>
      </c>
      <c r="V1" s="34"/>
      <c r="W1" s="34" t="s">
        <v>35</v>
      </c>
      <c r="X1" s="34"/>
      <c r="Y1" s="34"/>
      <c r="Z1" s="34" t="s">
        <v>86</v>
      </c>
      <c r="AA1" s="34" t="s">
        <v>34</v>
      </c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 t="s">
        <v>71</v>
      </c>
      <c r="AN1" s="33"/>
      <c r="AO1" s="33"/>
      <c r="AP1" s="33"/>
      <c r="AQ1" s="33"/>
      <c r="AR1" s="33" t="s">
        <v>126</v>
      </c>
      <c r="AS1" s="33"/>
      <c r="AT1" s="33"/>
      <c r="AU1" s="33" t="s">
        <v>127</v>
      </c>
      <c r="AV1" s="33"/>
      <c r="AW1" s="33" t="s">
        <v>128</v>
      </c>
      <c r="AX1" s="33"/>
    </row>
    <row r="2" spans="1:50" ht="18.75" thickBot="1" x14ac:dyDescent="0.3">
      <c r="M2" s="25" t="s">
        <v>35</v>
      </c>
      <c r="N2" s="25" t="s">
        <v>34</v>
      </c>
      <c r="O2" s="25" t="s">
        <v>36</v>
      </c>
      <c r="P2" s="25" t="s">
        <v>56</v>
      </c>
      <c r="Q2" s="6" t="s">
        <v>37</v>
      </c>
      <c r="R2" s="25" t="s">
        <v>54</v>
      </c>
      <c r="S2" s="6" t="s">
        <v>39</v>
      </c>
      <c r="T2" s="25" t="s">
        <v>0</v>
      </c>
      <c r="U2" s="25" t="s">
        <v>38</v>
      </c>
      <c r="V2" s="25" t="s">
        <v>7</v>
      </c>
      <c r="W2" s="25" t="s">
        <v>25</v>
      </c>
      <c r="X2" s="6" t="s">
        <v>108</v>
      </c>
      <c r="Y2" s="25" t="s">
        <v>143</v>
      </c>
      <c r="Z2" s="6" t="s">
        <v>110</v>
      </c>
      <c r="AA2" s="25" t="s">
        <v>33</v>
      </c>
      <c r="AB2" s="25"/>
      <c r="AC2" s="25" t="s">
        <v>0</v>
      </c>
      <c r="AD2" s="25" t="s">
        <v>7</v>
      </c>
      <c r="AE2" s="33"/>
      <c r="AF2" s="33" t="s">
        <v>39</v>
      </c>
      <c r="AG2" s="33" t="s">
        <v>40</v>
      </c>
      <c r="AH2" s="33" t="s">
        <v>41</v>
      </c>
      <c r="AI2" s="33" t="s">
        <v>42</v>
      </c>
      <c r="AJ2" s="33" t="s">
        <v>43</v>
      </c>
      <c r="AK2" s="33" t="s">
        <v>44</v>
      </c>
      <c r="AL2" s="33" t="s">
        <v>45</v>
      </c>
      <c r="AM2" s="25" t="s">
        <v>144</v>
      </c>
      <c r="AN2" s="25" t="s">
        <v>145</v>
      </c>
      <c r="AO2" s="33"/>
      <c r="AP2" s="33"/>
      <c r="AQ2" s="33"/>
      <c r="AR2" s="19" t="s">
        <v>275</v>
      </c>
      <c r="AS2" s="19" t="s">
        <v>276</v>
      </c>
      <c r="AT2" s="19"/>
      <c r="AU2" s="19" t="s">
        <v>129</v>
      </c>
      <c r="AV2" s="19"/>
      <c r="AW2" s="19" t="s">
        <v>130</v>
      </c>
      <c r="AX2" s="33"/>
    </row>
    <row r="3" spans="1:50" ht="18.75" thickBot="1" x14ac:dyDescent="0.3">
      <c r="M3" s="120">
        <v>1</v>
      </c>
      <c r="N3" s="120">
        <v>217.54</v>
      </c>
      <c r="O3" s="120">
        <v>24.9</v>
      </c>
      <c r="P3" s="120">
        <v>-42.8</v>
      </c>
      <c r="Q3" s="120">
        <v>10</v>
      </c>
      <c r="R3" s="57" t="s">
        <v>89</v>
      </c>
      <c r="S3" s="40">
        <f>(N3/M3)^0.5</f>
        <v>14.749237268414934</v>
      </c>
      <c r="T3" s="40">
        <f>O3/2/M3/S3</f>
        <v>0.84411144613296818</v>
      </c>
      <c r="U3" s="40">
        <f>P3/N3</f>
        <v>-0.19674542612852808</v>
      </c>
      <c r="V3" s="40">
        <f>1/((1-X3^2)^2+4*T3^2*X3^2)^0.5</f>
        <v>0.79005408713501235</v>
      </c>
      <c r="W3" s="40">
        <f>V3*U3</f>
        <v>-0.15543952803796326</v>
      </c>
      <c r="X3" s="40">
        <f>Q3/S3</f>
        <v>0.67800116155258494</v>
      </c>
      <c r="Y3" s="40">
        <f>2*T3*X3/(1-X3^2)</f>
        <v>2.1184277692700353</v>
      </c>
      <c r="Z3" s="40">
        <f>IF(X3&lt;=1,ATAN(Y3),ATAN(Y3)+3.1415)</f>
        <v>1.1297591538396976</v>
      </c>
      <c r="AA3" s="40">
        <f>6.28/Q3</f>
        <v>0.628</v>
      </c>
      <c r="AB3" s="40"/>
      <c r="AC3" s="40">
        <f>T3</f>
        <v>0.84411144613296818</v>
      </c>
      <c r="AD3" s="120">
        <v>1.3</v>
      </c>
      <c r="AE3" s="40"/>
      <c r="AF3" s="40">
        <v>1</v>
      </c>
      <c r="AG3" s="40">
        <f>4*AC3^2-2</f>
        <v>0.85009653397076335</v>
      </c>
      <c r="AH3" s="40">
        <f>(1-1/AD3^2)</f>
        <v>0.40828402366863914</v>
      </c>
      <c r="AI3" s="40">
        <f>AG3^2-4*AH3</f>
        <v>-0.9104719776054514</v>
      </c>
      <c r="AJ3" s="40" t="e">
        <f>SQRT(AI3)</f>
        <v>#NUM!</v>
      </c>
      <c r="AK3" s="40" t="e">
        <f>(-AG3+AJ3)/(2*AF3)</f>
        <v>#NUM!</v>
      </c>
      <c r="AL3" s="40" t="e">
        <f>(-AG3-AJ3)/(2*AF3)</f>
        <v>#NUM!</v>
      </c>
      <c r="AM3" s="40" t="e">
        <f>SQRT(AK3)</f>
        <v>#NUM!</v>
      </c>
      <c r="AN3" s="40" t="e">
        <f>SQRT(AL3)</f>
        <v>#NUM!</v>
      </c>
      <c r="AO3" s="40"/>
      <c r="AP3" s="40"/>
      <c r="AQ3" s="40"/>
      <c r="AR3" s="40">
        <f>N3*W3</f>
        <v>-33.814314929378526</v>
      </c>
      <c r="AS3" s="40">
        <f>(W3^2-2*W3*U3*COS(Z3)+U3^2)^0.5</f>
        <v>0.19173067837389893</v>
      </c>
      <c r="AT3" s="40"/>
      <c r="AU3" s="40">
        <f>O3*W3*Q3</f>
        <v>-38.704442481452851</v>
      </c>
      <c r="AV3" s="40"/>
      <c r="AW3" s="40">
        <f>P3</f>
        <v>-42.8</v>
      </c>
      <c r="AX3" s="33"/>
    </row>
    <row r="4" spans="1:50" x14ac:dyDescent="0.2">
      <c r="AR4" s="2"/>
      <c r="AS4" s="2"/>
    </row>
    <row r="5" spans="1:50" ht="13.5" thickBot="1" x14ac:dyDescent="0.25">
      <c r="C5" t="s">
        <v>0</v>
      </c>
      <c r="D5" t="s">
        <v>72</v>
      </c>
      <c r="E5" t="s">
        <v>73</v>
      </c>
      <c r="F5" t="s">
        <v>74</v>
      </c>
      <c r="G5" t="s">
        <v>75</v>
      </c>
      <c r="H5" t="s">
        <v>76</v>
      </c>
      <c r="I5" t="s">
        <v>77</v>
      </c>
      <c r="J5" t="s">
        <v>72</v>
      </c>
      <c r="K5" t="s">
        <v>73</v>
      </c>
      <c r="L5" t="s">
        <v>74</v>
      </c>
      <c r="M5" t="s">
        <v>75</v>
      </c>
      <c r="N5" t="s">
        <v>76</v>
      </c>
      <c r="O5" t="s">
        <v>77</v>
      </c>
      <c r="X5" s="175"/>
      <c r="AR5" s="2" t="s">
        <v>84</v>
      </c>
      <c r="AS5" s="2"/>
    </row>
    <row r="6" spans="1:50" x14ac:dyDescent="0.2">
      <c r="C6" s="3">
        <f>T3</f>
        <v>0.84411144613296818</v>
      </c>
      <c r="D6">
        <v>0</v>
      </c>
      <c r="E6">
        <v>0.1</v>
      </c>
      <c r="F6">
        <v>0.2</v>
      </c>
      <c r="G6">
        <v>0.5</v>
      </c>
      <c r="H6">
        <v>0.7</v>
      </c>
      <c r="I6">
        <v>1</v>
      </c>
      <c r="AR6" s="14" t="s">
        <v>83</v>
      </c>
      <c r="AS6" s="95"/>
      <c r="AT6" s="15" t="s">
        <v>49</v>
      </c>
    </row>
    <row r="7" spans="1:50" x14ac:dyDescent="0.2">
      <c r="AN7" t="s">
        <v>80</v>
      </c>
      <c r="AR7" s="12" t="s">
        <v>41</v>
      </c>
      <c r="AS7" s="96"/>
      <c r="AT7" s="13" t="s">
        <v>34</v>
      </c>
    </row>
    <row r="8" spans="1:50" ht="13.5" thickBot="1" x14ac:dyDescent="0.25">
      <c r="AR8" s="10">
        <v>0.02</v>
      </c>
      <c r="AS8" s="107"/>
      <c r="AT8" s="16">
        <f>1000/AR8</f>
        <v>50000</v>
      </c>
    </row>
    <row r="9" spans="1:50" x14ac:dyDescent="0.2">
      <c r="Y9" s="1" t="s">
        <v>3</v>
      </c>
      <c r="Z9" t="s">
        <v>4</v>
      </c>
      <c r="AA9" t="s">
        <v>125</v>
      </c>
    </row>
    <row r="10" spans="1:50" x14ac:dyDescent="0.2">
      <c r="A10" t="s">
        <v>6</v>
      </c>
      <c r="B10" t="s">
        <v>7</v>
      </c>
      <c r="C10" t="s">
        <v>8</v>
      </c>
      <c r="D10" t="s">
        <v>9</v>
      </c>
      <c r="E10" t="s">
        <v>10</v>
      </c>
      <c r="F10" t="s">
        <v>11</v>
      </c>
      <c r="G10" t="s">
        <v>12</v>
      </c>
      <c r="H10" t="s">
        <v>13</v>
      </c>
      <c r="I10" t="s">
        <v>14</v>
      </c>
      <c r="J10" t="s">
        <v>15</v>
      </c>
      <c r="K10" t="s">
        <v>16</v>
      </c>
      <c r="L10" t="s">
        <v>17</v>
      </c>
      <c r="M10" t="s">
        <v>18</v>
      </c>
      <c r="N10" t="s">
        <v>19</v>
      </c>
      <c r="O10" t="s">
        <v>20</v>
      </c>
      <c r="Y10">
        <v>0</v>
      </c>
      <c r="Z10">
        <f>$W$3*SIN($Q$3*Y10-$Z$3)</f>
        <v>0.14056542692265248</v>
      </c>
      <c r="AA10">
        <f>$U$3*SIN($Q$3*Y10)</f>
        <v>0</v>
      </c>
    </row>
    <row r="11" spans="1:50" x14ac:dyDescent="0.2">
      <c r="A11">
        <v>0</v>
      </c>
      <c r="B11">
        <f>1/SQRT((1-A11^2)^2+4*$C$6^2*A11^2)</f>
        <v>1</v>
      </c>
      <c r="C11">
        <f t="shared" ref="C11:C21" si="0">ATAN(2*$C$6*A11/(1-A11^2))</f>
        <v>0</v>
      </c>
      <c r="D11">
        <f>1/SQRT((1-A11^2)^2+4*$D$6^2*A11^2)</f>
        <v>1</v>
      </c>
      <c r="E11">
        <f>1/SQRT((1-A11^2)^2+4*$E$6^2*A11^2)</f>
        <v>1</v>
      </c>
      <c r="F11">
        <f>1/SQRT((1-A11^2)^2+4*$F$6^2*A11^2)</f>
        <v>1</v>
      </c>
      <c r="G11">
        <f>1/SQRT((1-A11^2)^2+4*$G$6^2*A11^2)</f>
        <v>1</v>
      </c>
      <c r="H11">
        <f>1/SQRT((1-A11^2)^2+4*$H$6^2*A11^2)</f>
        <v>1</v>
      </c>
      <c r="I11">
        <f>1/SQRT((1-A11^2)^2+4*$I$6^2*A11^2)</f>
        <v>1</v>
      </c>
      <c r="J11">
        <f>ATAN(2*$D$6*A11/(1-A11^2))</f>
        <v>0</v>
      </c>
      <c r="K11">
        <f>ATAN(2*$E$6*A11/(1-A11^2))</f>
        <v>0</v>
      </c>
      <c r="L11">
        <f>ATAN(2*$F$6*A11/(1-A11^2))</f>
        <v>0</v>
      </c>
      <c r="M11">
        <f>ATAN(2*$G$6*A11/(1-A11^2))</f>
        <v>0</v>
      </c>
      <c r="N11">
        <f>ATAN(2*$H$6*A11/(1-A11^2))</f>
        <v>0</v>
      </c>
      <c r="O11">
        <f>ATAN(2*$I$6*A11/(1-A11^2))</f>
        <v>0</v>
      </c>
      <c r="Y11">
        <v>5.0000000000000001E-3</v>
      </c>
      <c r="Z11">
        <f t="shared" ref="Z11:Z74" si="1">$W$3*SIN($Q$3*Y11-$Z$3)</f>
        <v>0.13707345614932437</v>
      </c>
      <c r="AA11">
        <f t="shared" ref="AA11:AA74" si="2">$U$3*SIN($Q$3*Y11)</f>
        <v>-9.8331729557094433E-3</v>
      </c>
    </row>
    <row r="12" spans="1:50" x14ac:dyDescent="0.2">
      <c r="A12">
        <v>0.1</v>
      </c>
      <c r="B12">
        <f t="shared" ref="B12:B92" si="3">1/SQRT((1-A12^2)^2+4*$C$6^2*A12^2)</f>
        <v>0.9957270612073994</v>
      </c>
      <c r="C12">
        <f t="shared" si="0"/>
        <v>0.16890285891343135</v>
      </c>
      <c r="D12">
        <f t="shared" ref="D12:D93" si="4">1/SQRT((1-A12^2)^2+4*$D$6^2*A12^2)</f>
        <v>1.0101010101010102</v>
      </c>
      <c r="E12">
        <f t="shared" ref="E12:E93" si="5">1/SQRT((1-A12^2)^2+4*$E$6^2*A12^2)</f>
        <v>1.0098949511412771</v>
      </c>
      <c r="F12">
        <f t="shared" ref="F12:F93" si="6">1/SQRT((1-A12^2)^2+4*$F$6^2*A12^2)</f>
        <v>1.0092775300822563</v>
      </c>
      <c r="G12">
        <f t="shared" ref="G12:G93" si="7">1/SQRT((1-A12^2)^2+4*$G$6^2*A12^2)</f>
        <v>1.004987059618685</v>
      </c>
      <c r="H12">
        <f t="shared" ref="H12:H93" si="8">1/SQRT((1-A12^2)^2+4*$H$6^2*A12^2)</f>
        <v>1.0001500337584397</v>
      </c>
      <c r="I12">
        <f t="shared" ref="I12:I93" si="9">1/SQRT((1-A12^2)^2+4*$I$6^2*A12^2)</f>
        <v>0.99009900990099009</v>
      </c>
      <c r="J12">
        <f t="shared" ref="J12:J21" si="10">ATAN(2*$D$6*A12/(1-A12^2))</f>
        <v>0</v>
      </c>
      <c r="K12">
        <f t="shared" ref="K12:K21" si="11">ATAN(2*$E$6*A12/(1-A12^2))</f>
        <v>2.0199272581067931E-2</v>
      </c>
      <c r="L12">
        <f t="shared" ref="L12:L21" si="12">ATAN(2*$F$6*A12/(1-A12^2))</f>
        <v>4.0382075564499915E-2</v>
      </c>
      <c r="M12">
        <f t="shared" ref="M12:M21" si="13">ATAN(2*$G$6*A12/(1-A12^2))</f>
        <v>0.1006686521578289</v>
      </c>
      <c r="N12">
        <f t="shared" ref="N12:N21" si="14">ATAN(2*$H$6*A12/(1-A12^2))</f>
        <v>0.14048262839039766</v>
      </c>
      <c r="O12">
        <f t="shared" ref="O12:O21" si="15">ATAN(2*$I$6*A12/(1-A12^2))</f>
        <v>0.19933730498232408</v>
      </c>
      <c r="Y12">
        <v>0.01</v>
      </c>
      <c r="Z12">
        <f t="shared" si="1"/>
        <v>0.13323887312209895</v>
      </c>
      <c r="AA12">
        <f t="shared" si="2"/>
        <v>-1.9641768100047093E-2</v>
      </c>
    </row>
    <row r="13" spans="1:50" x14ac:dyDescent="0.2">
      <c r="A13">
        <v>0.2</v>
      </c>
      <c r="B13">
        <f t="shared" si="3"/>
        <v>0.9826597542076988</v>
      </c>
      <c r="C13">
        <f t="shared" si="0"/>
        <v>0.33820015271275367</v>
      </c>
      <c r="D13">
        <f t="shared" si="4"/>
        <v>1.0416666666666667</v>
      </c>
      <c r="E13">
        <f t="shared" si="5"/>
        <v>1.0407636178045332</v>
      </c>
      <c r="F13">
        <f t="shared" si="6"/>
        <v>1.0380684981717496</v>
      </c>
      <c r="G13">
        <f t="shared" si="7"/>
        <v>1.0197712705600053</v>
      </c>
      <c r="H13">
        <f t="shared" si="8"/>
        <v>1</v>
      </c>
      <c r="I13">
        <f t="shared" si="9"/>
        <v>0.96153846153846145</v>
      </c>
      <c r="J13">
        <f t="shared" si="10"/>
        <v>0</v>
      </c>
      <c r="K13">
        <f t="shared" si="11"/>
        <v>4.1642579098588435E-2</v>
      </c>
      <c r="L13">
        <f t="shared" si="12"/>
        <v>8.3141231888441247E-2</v>
      </c>
      <c r="M13">
        <f t="shared" si="13"/>
        <v>0.20539538918976741</v>
      </c>
      <c r="N13">
        <f t="shared" si="14"/>
        <v>0.28379410920832782</v>
      </c>
      <c r="O13">
        <f t="shared" si="15"/>
        <v>0.39479111969976155</v>
      </c>
      <c r="Y13">
        <v>1.4999999999999999E-2</v>
      </c>
      <c r="Z13">
        <f t="shared" si="1"/>
        <v>0.12907126230153201</v>
      </c>
      <c r="AA13">
        <f t="shared" si="2"/>
        <v>-2.9401269053369709E-2</v>
      </c>
    </row>
    <row r="14" spans="1:50" x14ac:dyDescent="0.2">
      <c r="A14">
        <v>0.3</v>
      </c>
      <c r="B14">
        <f t="shared" si="3"/>
        <v>0.96020388881718943</v>
      </c>
      <c r="C14">
        <f t="shared" si="0"/>
        <v>0.50786343181014659</v>
      </c>
      <c r="D14">
        <f t="shared" si="4"/>
        <v>1.0989010989010988</v>
      </c>
      <c r="E14">
        <f t="shared" si="5"/>
        <v>1.0965202319032639</v>
      </c>
      <c r="F14">
        <f t="shared" si="6"/>
        <v>1.0894694214056866</v>
      </c>
      <c r="G14">
        <f t="shared" si="7"/>
        <v>1.0436503096577461</v>
      </c>
      <c r="H14">
        <f t="shared" si="8"/>
        <v>0.99775756538511184</v>
      </c>
      <c r="I14">
        <f t="shared" si="9"/>
        <v>0.9174311926605504</v>
      </c>
      <c r="J14">
        <f t="shared" si="10"/>
        <v>0</v>
      </c>
      <c r="K14">
        <f t="shared" si="11"/>
        <v>6.5838769302693806E-2</v>
      </c>
      <c r="L14">
        <f t="shared" si="12"/>
        <v>0.13111164848254669</v>
      </c>
      <c r="M14">
        <f t="shared" si="13"/>
        <v>0.31845023634615499</v>
      </c>
      <c r="N14">
        <f t="shared" si="14"/>
        <v>0.43240777557053783</v>
      </c>
      <c r="O14">
        <f t="shared" si="15"/>
        <v>0.5829135889557342</v>
      </c>
      <c r="Y14">
        <v>0.02</v>
      </c>
      <c r="Z14">
        <f t="shared" si="1"/>
        <v>0.12458104054422524</v>
      </c>
      <c r="AA14">
        <f t="shared" si="2"/>
        <v>-3.9087282145943827E-2</v>
      </c>
    </row>
    <row r="15" spans="1:50" x14ac:dyDescent="0.2">
      <c r="A15">
        <v>0.4</v>
      </c>
      <c r="B15">
        <f t="shared" si="3"/>
        <v>0.92783085526229747</v>
      </c>
      <c r="C15">
        <f t="shared" si="0"/>
        <v>0.67712398528255791</v>
      </c>
      <c r="D15">
        <f t="shared" si="4"/>
        <v>1.1904761904761905</v>
      </c>
      <c r="E15">
        <f t="shared" si="5"/>
        <v>1.1851136578499433</v>
      </c>
      <c r="F15">
        <f t="shared" si="6"/>
        <v>1.16945067431247</v>
      </c>
      <c r="G15">
        <f t="shared" si="7"/>
        <v>1.0748339509808695</v>
      </c>
      <c r="H15">
        <f t="shared" si="8"/>
        <v>0.99053606468790911</v>
      </c>
      <c r="I15">
        <f t="shared" si="9"/>
        <v>0.86206896551724133</v>
      </c>
      <c r="J15">
        <f t="shared" si="10"/>
        <v>0</v>
      </c>
      <c r="K15">
        <f t="shared" si="11"/>
        <v>9.4951706342756348E-2</v>
      </c>
      <c r="L15">
        <f t="shared" si="12"/>
        <v>0.1882215053047708</v>
      </c>
      <c r="M15">
        <f t="shared" si="13"/>
        <v>0.44441920990109895</v>
      </c>
      <c r="N15">
        <f t="shared" si="14"/>
        <v>0.5880026035475675</v>
      </c>
      <c r="O15">
        <f t="shared" si="15"/>
        <v>0.7610127542247298</v>
      </c>
      <c r="Y15">
        <v>2.5000000000000001E-2</v>
      </c>
      <c r="Z15">
        <f t="shared" si="1"/>
        <v>0.11977943106610957</v>
      </c>
      <c r="AA15">
        <f t="shared" si="2"/>
        <v>-4.8675597389416111E-2</v>
      </c>
    </row>
    <row r="16" spans="1:50" x14ac:dyDescent="0.2">
      <c r="A16">
        <v>0.5</v>
      </c>
      <c r="B16">
        <f t="shared" si="3"/>
        <v>0.88560650409815123</v>
      </c>
      <c r="C16">
        <f t="shared" si="0"/>
        <v>0.84436664834593833</v>
      </c>
      <c r="D16">
        <f t="shared" si="4"/>
        <v>1.3333333333333333</v>
      </c>
      <c r="E16">
        <f t="shared" si="5"/>
        <v>1.3216372009101796</v>
      </c>
      <c r="F16">
        <f t="shared" si="6"/>
        <v>1.2883132528016616</v>
      </c>
      <c r="G16">
        <f t="shared" si="7"/>
        <v>1.1094003924504583</v>
      </c>
      <c r="H16">
        <f t="shared" si="8"/>
        <v>0.97474035765715861</v>
      </c>
      <c r="I16">
        <f t="shared" si="9"/>
        <v>0.8</v>
      </c>
      <c r="J16">
        <f t="shared" si="10"/>
        <v>0</v>
      </c>
      <c r="K16">
        <f t="shared" si="11"/>
        <v>0.13255153229667402</v>
      </c>
      <c r="L16">
        <f t="shared" si="12"/>
        <v>0.26060239174734096</v>
      </c>
      <c r="M16">
        <f t="shared" si="13"/>
        <v>0.5880026035475675</v>
      </c>
      <c r="N16">
        <f t="shared" si="14"/>
        <v>0.75092906239794022</v>
      </c>
      <c r="O16">
        <f t="shared" si="15"/>
        <v>0.92729521800161219</v>
      </c>
      <c r="Y16">
        <v>0.03</v>
      </c>
      <c r="Z16">
        <f t="shared" si="1"/>
        <v>0.11467843539025045</v>
      </c>
      <c r="AA16">
        <f t="shared" si="2"/>
        <v>-5.8142248989175929E-2</v>
      </c>
    </row>
    <row r="17" spans="1:36" x14ac:dyDescent="0.2">
      <c r="A17">
        <v>0.6</v>
      </c>
      <c r="B17">
        <f t="shared" si="3"/>
        <v>0.83459930485824418</v>
      </c>
      <c r="C17">
        <f t="shared" si="0"/>
        <v>1.0073019764013238</v>
      </c>
      <c r="D17">
        <f t="shared" si="4"/>
        <v>1.5625</v>
      </c>
      <c r="E17">
        <f t="shared" si="5"/>
        <v>1.5357377920848778</v>
      </c>
      <c r="F17">
        <f t="shared" si="6"/>
        <v>1.463014339951632</v>
      </c>
      <c r="G17">
        <f t="shared" si="7"/>
        <v>1.139901881468883</v>
      </c>
      <c r="H17">
        <f t="shared" si="8"/>
        <v>0.94694252384821276</v>
      </c>
      <c r="I17">
        <f t="shared" si="9"/>
        <v>0.73529411764705888</v>
      </c>
      <c r="J17">
        <f t="shared" si="10"/>
        <v>0</v>
      </c>
      <c r="K17">
        <f t="shared" si="11"/>
        <v>0.18534794999569476</v>
      </c>
      <c r="L17">
        <f t="shared" si="12"/>
        <v>0.35877067027057225</v>
      </c>
      <c r="M17">
        <f t="shared" si="13"/>
        <v>0.75315128096219441</v>
      </c>
      <c r="N17">
        <f t="shared" si="14"/>
        <v>0.91971960535041686</v>
      </c>
      <c r="O17">
        <f t="shared" si="15"/>
        <v>1.0808390005411683</v>
      </c>
      <c r="Y17">
        <v>3.5000000000000003E-2</v>
      </c>
      <c r="Z17">
        <f t="shared" si="1"/>
        <v>0.10929080334929035</v>
      </c>
      <c r="AA17">
        <f t="shared" si="2"/>
        <v>-6.7463575246360763E-2</v>
      </c>
    </row>
    <row r="18" spans="1:36" x14ac:dyDescent="0.2">
      <c r="A18">
        <v>0.7</v>
      </c>
      <c r="B18">
        <f t="shared" si="3"/>
        <v>0.77693550973565384</v>
      </c>
      <c r="C18">
        <f t="shared" si="0"/>
        <v>1.1633814700557716</v>
      </c>
      <c r="D18">
        <f t="shared" si="4"/>
        <v>1.9607843137254901</v>
      </c>
      <c r="E18">
        <f t="shared" si="5"/>
        <v>1.8908355841512123</v>
      </c>
      <c r="F18">
        <f t="shared" si="6"/>
        <v>1.7187814721168515</v>
      </c>
      <c r="G18">
        <f t="shared" si="7"/>
        <v>1.154623566040508</v>
      </c>
      <c r="H18">
        <f t="shared" si="8"/>
        <v>0.90517199336179832</v>
      </c>
      <c r="I18">
        <f t="shared" si="9"/>
        <v>0.67114093959731558</v>
      </c>
      <c r="J18">
        <f t="shared" si="10"/>
        <v>0</v>
      </c>
      <c r="K18">
        <f t="shared" si="11"/>
        <v>0.26791042242333968</v>
      </c>
      <c r="L18">
        <f t="shared" si="12"/>
        <v>0.50209019902199403</v>
      </c>
      <c r="M18">
        <f t="shared" si="13"/>
        <v>0.94115114414874057</v>
      </c>
      <c r="N18">
        <f t="shared" si="14"/>
        <v>1.0909558012765685</v>
      </c>
      <c r="O18">
        <f t="shared" si="15"/>
        <v>1.2214519287784171</v>
      </c>
      <c r="Y18">
        <v>0.04</v>
      </c>
      <c r="Z18">
        <f t="shared" si="1"/>
        <v>0.10363000121750711</v>
      </c>
      <c r="AA18">
        <f t="shared" si="2"/>
        <v>-7.6616277699780466E-2</v>
      </c>
    </row>
    <row r="19" spans="1:36" ht="18.75" x14ac:dyDescent="0.35">
      <c r="A19">
        <v>0.8</v>
      </c>
      <c r="B19">
        <f t="shared" si="3"/>
        <v>0.71544344608736365</v>
      </c>
      <c r="C19">
        <f t="shared" si="0"/>
        <v>1.3103005431825432</v>
      </c>
      <c r="D19">
        <f t="shared" si="4"/>
        <v>2.7777777777777786</v>
      </c>
      <c r="E19">
        <f t="shared" si="5"/>
        <v>2.538365412834048</v>
      </c>
      <c r="F19">
        <f t="shared" si="6"/>
        <v>2.0761369963434992</v>
      </c>
      <c r="G19">
        <f t="shared" si="7"/>
        <v>1.139901881468883</v>
      </c>
      <c r="H19">
        <f t="shared" si="8"/>
        <v>0.85002550114755737</v>
      </c>
      <c r="I19">
        <f t="shared" si="9"/>
        <v>0.6097560975609756</v>
      </c>
      <c r="J19">
        <f t="shared" si="10"/>
        <v>0</v>
      </c>
      <c r="K19">
        <f t="shared" si="11"/>
        <v>0.41822432957922934</v>
      </c>
      <c r="L19">
        <f t="shared" si="12"/>
        <v>0.72664234068172595</v>
      </c>
      <c r="M19">
        <f t="shared" si="13"/>
        <v>1.1479424006619561</v>
      </c>
      <c r="N19">
        <f t="shared" si="14"/>
        <v>1.2597980461893556</v>
      </c>
      <c r="O19">
        <f t="shared" si="15"/>
        <v>1.3494818844471055</v>
      </c>
      <c r="Y19">
        <v>4.4999999999999998E-2</v>
      </c>
      <c r="Z19">
        <f t="shared" si="1"/>
        <v>9.7710178052141453E-2</v>
      </c>
      <c r="AA19">
        <f t="shared" si="2"/>
        <v>-8.5577479359936801E-2</v>
      </c>
      <c r="AC19" s="21" t="s">
        <v>93</v>
      </c>
      <c r="AJ19" s="17" t="s">
        <v>88</v>
      </c>
    </row>
    <row r="20" spans="1:36" x14ac:dyDescent="0.2">
      <c r="A20">
        <v>0.9</v>
      </c>
      <c r="B20">
        <f t="shared" si="3"/>
        <v>0.65306796068028017</v>
      </c>
      <c r="C20">
        <f t="shared" si="0"/>
        <v>1.446392779229476</v>
      </c>
      <c r="D20">
        <f t="shared" si="4"/>
        <v>5.2631578947368434</v>
      </c>
      <c r="E20">
        <f t="shared" si="5"/>
        <v>3.8208035995043517</v>
      </c>
      <c r="F20">
        <f t="shared" si="6"/>
        <v>2.4566243134638044</v>
      </c>
      <c r="G20">
        <f t="shared" si="7"/>
        <v>1.0871492046706062</v>
      </c>
      <c r="H20">
        <f t="shared" si="8"/>
        <v>0.78477851476604921</v>
      </c>
      <c r="I20">
        <f t="shared" si="9"/>
        <v>0.5524861878453039</v>
      </c>
      <c r="J20">
        <f t="shared" si="10"/>
        <v>0</v>
      </c>
      <c r="K20">
        <f t="shared" si="11"/>
        <v>0.75837771421018374</v>
      </c>
      <c r="L20">
        <f t="shared" si="12"/>
        <v>1.0851742334974281</v>
      </c>
      <c r="M20">
        <f t="shared" si="13"/>
        <v>1.3627401900038709</v>
      </c>
      <c r="N20">
        <f t="shared" si="14"/>
        <v>1.421130283105287</v>
      </c>
      <c r="O20">
        <f t="shared" si="15"/>
        <v>1.4656302035730133</v>
      </c>
      <c r="Y20">
        <v>0.05</v>
      </c>
      <c r="Z20">
        <f t="shared" si="1"/>
        <v>9.1546130328122463E-2</v>
      </c>
      <c r="AA20">
        <f t="shared" si="2"/>
        <v>-9.4324781889583015E-2</v>
      </c>
    </row>
    <row r="21" spans="1:36" ht="18" x14ac:dyDescent="0.25">
      <c r="A21">
        <v>0.91</v>
      </c>
      <c r="B21">
        <f t="shared" si="3"/>
        <v>0.64688485893021941</v>
      </c>
      <c r="C21">
        <f t="shared" si="0"/>
        <v>1.4593663651124598</v>
      </c>
      <c r="D21">
        <f t="shared" si="4"/>
        <v>5.8173356602675996</v>
      </c>
      <c r="E21">
        <f t="shared" si="5"/>
        <v>3.9944560271995577</v>
      </c>
      <c r="F21">
        <f t="shared" si="6"/>
        <v>2.4841702989703358</v>
      </c>
      <c r="G21">
        <f t="shared" si="7"/>
        <v>1.0798043004487976</v>
      </c>
      <c r="H21">
        <f t="shared" si="8"/>
        <v>0.77788027798834392</v>
      </c>
      <c r="I21">
        <f t="shared" si="9"/>
        <v>0.54701602756960777</v>
      </c>
      <c r="J21">
        <f t="shared" si="10"/>
        <v>0</v>
      </c>
      <c r="K21">
        <f t="shared" si="11"/>
        <v>0.81392955432432457</v>
      </c>
      <c r="L21">
        <f t="shared" si="12"/>
        <v>1.1295918874062343</v>
      </c>
      <c r="M21">
        <f t="shared" si="13"/>
        <v>1.3840952066280838</v>
      </c>
      <c r="N21">
        <f t="shared" si="14"/>
        <v>1.4366769786982321</v>
      </c>
      <c r="O21">
        <f t="shared" si="15"/>
        <v>1.4766251450344561</v>
      </c>
      <c r="Y21">
        <v>5.5E-2</v>
      </c>
      <c r="Z21">
        <f t="shared" si="1"/>
        <v>8.5153264954586194E-2</v>
      </c>
      <c r="AA21">
        <f t="shared" si="2"/>
        <v>-0.10283632158790205</v>
      </c>
      <c r="AD21" s="18" t="s">
        <v>155</v>
      </c>
      <c r="AG21" s="61" t="s">
        <v>156</v>
      </c>
      <c r="AJ21" s="61" t="s">
        <v>94</v>
      </c>
    </row>
    <row r="22" spans="1:36" x14ac:dyDescent="0.2">
      <c r="A22">
        <v>0.92</v>
      </c>
      <c r="B22">
        <f t="shared" si="3"/>
        <v>0.64072100943342236</v>
      </c>
      <c r="C22">
        <f t="shared" ref="C22:C29" si="16">ATAN(2*$C$6*A22/(1-A22^2))</f>
        <v>1.4722220179301448</v>
      </c>
      <c r="D22">
        <f t="shared" ref="D22:D38" si="17">1/SQRT((1-A22^2)^2+4*$D$6^2*A22^2)</f>
        <v>6.5104166666666687</v>
      </c>
      <c r="E22">
        <f t="shared" ref="E22:E38" si="18">1/SQRT((1-A22^2)^2+4*$E$6^2*A22^2)</f>
        <v>4.1721403969880368</v>
      </c>
      <c r="F22">
        <f t="shared" ref="F22:F38" si="19">1/SQRT((1-A22^2)^2+4*$F$6^2*A22^2)</f>
        <v>2.5077155716134478</v>
      </c>
      <c r="G22">
        <f t="shared" ref="G22:G38" si="20">1/SQRT((1-A22^2)^2+4*$G$6^2*A22^2)</f>
        <v>1.0721168726067902</v>
      </c>
      <c r="H22">
        <f t="shared" ref="H22:H38" si="21">1/SQRT((1-A22^2)^2+4*$H$6^2*A22^2)</f>
        <v>0.77093487685527551</v>
      </c>
      <c r="I22">
        <f t="shared" ref="I22:I38" si="22">1/SQRT((1-A22^2)^2+4*$I$6^2*A22^2)</f>
        <v>0.54159445407279028</v>
      </c>
      <c r="J22">
        <f t="shared" ref="J22:J29" si="23">ATAN(2*$D$6*A22/(1-A22^2))</f>
        <v>0</v>
      </c>
      <c r="K22">
        <f t="shared" ref="K22:K29" si="24">ATAN(2*$E$6*A22/(1-A22^2))</f>
        <v>0.87520334995161619</v>
      </c>
      <c r="L22">
        <f t="shared" ref="L22:L29" si="25">ATAN(2*$F$6*A22/(1-A22^2))</f>
        <v>1.1753879232229212</v>
      </c>
      <c r="M22">
        <f t="shared" ref="M22:M29" si="26">ATAN(2*$G$6*A22/(1-A22^2))</f>
        <v>1.4053656414915245</v>
      </c>
      <c r="N22">
        <f t="shared" ref="N22:N29" si="27">ATAN(2*$H$6*A22/(1-A22^2))</f>
        <v>1.4521022264905716</v>
      </c>
      <c r="O22">
        <f t="shared" ref="O22:O29" si="28">ATAN(2*$I$6*A22/(1-A22^2))</f>
        <v>1.4875111685977198</v>
      </c>
      <c r="Y22">
        <v>0.06</v>
      </c>
      <c r="Z22">
        <f t="shared" si="1"/>
        <v>7.8547560765626592E-2</v>
      </c>
      <c r="AA22">
        <f t="shared" si="2"/>
        <v>-0.11109082403837231</v>
      </c>
    </row>
    <row r="23" spans="1:36" x14ac:dyDescent="0.2">
      <c r="A23">
        <v>0.93</v>
      </c>
      <c r="B23">
        <f t="shared" si="3"/>
        <v>0.63457851173157076</v>
      </c>
      <c r="C23">
        <f t="shared" si="16"/>
        <v>1.4849594012583731</v>
      </c>
      <c r="D23">
        <f t="shared" si="17"/>
        <v>7.4019245003701029</v>
      </c>
      <c r="E23">
        <f t="shared" si="18"/>
        <v>4.3499641798780724</v>
      </c>
      <c r="F23">
        <f t="shared" si="19"/>
        <v>2.5267029889901225</v>
      </c>
      <c r="G23">
        <f t="shared" si="20"/>
        <v>1.064099573566327</v>
      </c>
      <c r="H23">
        <f t="shared" si="21"/>
        <v>0.76394751127030724</v>
      </c>
      <c r="I23">
        <f t="shared" si="22"/>
        <v>0.53622178132875753</v>
      </c>
      <c r="J23">
        <f t="shared" si="23"/>
        <v>0</v>
      </c>
      <c r="K23">
        <f t="shared" si="24"/>
        <v>0.94260769029827862</v>
      </c>
      <c r="L23">
        <f t="shared" si="25"/>
        <v>1.2224354777514994</v>
      </c>
      <c r="M23">
        <f t="shared" si="26"/>
        <v>1.4265366334362823</v>
      </c>
      <c r="N23">
        <f t="shared" si="27"/>
        <v>1.4674029003839553</v>
      </c>
      <c r="O23">
        <f t="shared" si="28"/>
        <v>1.4982892492120345</v>
      </c>
      <c r="Y23">
        <v>6.5000000000000002E-2</v>
      </c>
      <c r="Z23">
        <f t="shared" si="1"/>
        <v>7.1745528581531756E-2</v>
      </c>
      <c r="AA23">
        <f t="shared" si="2"/>
        <v>-0.11906765728372939</v>
      </c>
    </row>
    <row r="24" spans="1:36" x14ac:dyDescent="0.2">
      <c r="A24">
        <v>0.94</v>
      </c>
      <c r="B24">
        <f t="shared" si="3"/>
        <v>0.62845938794622491</v>
      </c>
      <c r="C24">
        <f t="shared" si="16"/>
        <v>1.4975782526080266</v>
      </c>
      <c r="D24">
        <f t="shared" si="17"/>
        <v>8.5910652920962161</v>
      </c>
      <c r="E24">
        <f t="shared" si="18"/>
        <v>4.5224818728865488</v>
      </c>
      <c r="F24">
        <f t="shared" si="19"/>
        <v>2.5406176078277771</v>
      </c>
      <c r="G24">
        <f t="shared" si="20"/>
        <v>1.0557661195182084</v>
      </c>
      <c r="H24">
        <f t="shared" si="21"/>
        <v>0.75692334006600803</v>
      </c>
      <c r="I24">
        <f t="shared" si="22"/>
        <v>0.53089827988957317</v>
      </c>
      <c r="J24">
        <f t="shared" si="23"/>
        <v>0</v>
      </c>
      <c r="K24">
        <f t="shared" si="24"/>
        <v>1.0164155866177931</v>
      </c>
      <c r="L24">
        <f t="shared" si="25"/>
        <v>1.2705789270856365</v>
      </c>
      <c r="M24">
        <f t="shared" si="26"/>
        <v>1.4475937072029079</v>
      </c>
      <c r="N24">
        <f t="shared" si="27"/>
        <v>1.4825760608608736</v>
      </c>
      <c r="O24">
        <f t="shared" si="28"/>
        <v>1.5089603676688113</v>
      </c>
      <c r="Y24">
        <v>7.0000000000000007E-2</v>
      </c>
      <c r="Z24">
        <f t="shared" si="1"/>
        <v>6.4764169940332086E-2</v>
      </c>
      <c r="AA24">
        <f t="shared" si="2"/>
        <v>-0.12674688339511436</v>
      </c>
    </row>
    <row r="25" spans="1:36" x14ac:dyDescent="0.2">
      <c r="A25">
        <v>0.95</v>
      </c>
      <c r="B25">
        <f t="shared" si="3"/>
        <v>0.62236558203940529</v>
      </c>
      <c r="C25">
        <f t="shared" si="16"/>
        <v>1.5100783815961372</v>
      </c>
      <c r="D25">
        <f t="shared" si="17"/>
        <v>10.256410256410254</v>
      </c>
      <c r="E25">
        <f t="shared" si="18"/>
        <v>4.6826081664798602</v>
      </c>
      <c r="F25">
        <f t="shared" si="19"/>
        <v>2.5490119515086644</v>
      </c>
      <c r="G25">
        <f t="shared" si="20"/>
        <v>1.0471311827036469</v>
      </c>
      <c r="H25">
        <f t="shared" si="21"/>
        <v>0.74986746677901339</v>
      </c>
      <c r="I25">
        <f t="shared" si="22"/>
        <v>0.52562417871222078</v>
      </c>
      <c r="J25">
        <f t="shared" si="23"/>
        <v>0</v>
      </c>
      <c r="K25">
        <f t="shared" si="24"/>
        <v>1.0966778962893935</v>
      </c>
      <c r="L25">
        <f t="shared" si="25"/>
        <v>1.319635362217128</v>
      </c>
      <c r="M25">
        <f t="shared" si="26"/>
        <v>1.4685228351834687</v>
      </c>
      <c r="N25">
        <f t="shared" si="27"/>
        <v>1.4976189563487574</v>
      </c>
      <c r="O25">
        <f t="shared" si="28"/>
        <v>1.5195255097515417</v>
      </c>
      <c r="Y25">
        <v>7.4999999999999997E-2</v>
      </c>
      <c r="Z25">
        <f t="shared" si="1"/>
        <v>5.7620934602809308E-2</v>
      </c>
      <c r="AA25">
        <f t="shared" si="2"/>
        <v>-0.13410930830651235</v>
      </c>
    </row>
    <row r="26" spans="1:36" x14ac:dyDescent="0.2">
      <c r="A26">
        <v>0.96</v>
      </c>
      <c r="B26">
        <f t="shared" si="3"/>
        <v>0.61629895932438872</v>
      </c>
      <c r="C26">
        <f t="shared" si="16"/>
        <v>1.5224596680252229</v>
      </c>
      <c r="D26">
        <f t="shared" si="17"/>
        <v>12.755102040816322</v>
      </c>
      <c r="E26">
        <f t="shared" si="18"/>
        <v>4.8218361814216202</v>
      </c>
      <c r="F26">
        <f t="shared" si="19"/>
        <v>2.5515305527331318</v>
      </c>
      <c r="G26">
        <f t="shared" si="20"/>
        <v>1.0382102772558768</v>
      </c>
      <c r="H26">
        <f t="shared" si="21"/>
        <v>0.74278492628069748</v>
      </c>
      <c r="I26">
        <f t="shared" si="22"/>
        <v>0.52039966694421314</v>
      </c>
      <c r="J26">
        <f t="shared" si="23"/>
        <v>0</v>
      </c>
      <c r="K26">
        <f t="shared" si="24"/>
        <v>1.183126748420898</v>
      </c>
      <c r="L26">
        <f t="shared" si="25"/>
        <v>1.3693975857673759</v>
      </c>
      <c r="M26">
        <f t="shared" si="26"/>
        <v>1.4893104941392614</v>
      </c>
      <c r="N26">
        <f t="shared" si="27"/>
        <v>1.5125290238253633</v>
      </c>
      <c r="O26">
        <f t="shared" si="28"/>
        <v>1.5299856654218205</v>
      </c>
      <c r="Y26">
        <v>0.08</v>
      </c>
      <c r="Z26">
        <f t="shared" si="1"/>
        <v>5.0333676937182117E-2</v>
      </c>
      <c r="AA26">
        <f t="shared" si="2"/>
        <v>-0.14113652978992172</v>
      </c>
    </row>
    <row r="27" spans="1:36" x14ac:dyDescent="0.2">
      <c r="A27">
        <v>0.97</v>
      </c>
      <c r="B27">
        <f t="shared" si="3"/>
        <v>0.61026130621487973</v>
      </c>
      <c r="C27">
        <f t="shared" si="16"/>
        <v>1.5347220598823772</v>
      </c>
      <c r="D27">
        <f t="shared" si="17"/>
        <v>16.920473773265641</v>
      </c>
      <c r="E27">
        <f t="shared" si="18"/>
        <v>4.9309083220408478</v>
      </c>
      <c r="F27">
        <f t="shared" si="19"/>
        <v>2.5479314644824322</v>
      </c>
      <c r="G27">
        <f t="shared" si="20"/>
        <v>1.0290196403993601</v>
      </c>
      <c r="H27">
        <f t="shared" si="21"/>
        <v>0.73568067230722656</v>
      </c>
      <c r="I27">
        <f t="shared" si="22"/>
        <v>0.51522489566695862</v>
      </c>
      <c r="J27">
        <f t="shared" si="23"/>
        <v>0</v>
      </c>
      <c r="K27">
        <f t="shared" si="24"/>
        <v>1.275088861275929</v>
      </c>
      <c r="L27">
        <f t="shared" si="25"/>
        <v>1.419638609396767</v>
      </c>
      <c r="M27">
        <f t="shared" si="26"/>
        <v>1.5099437163899994</v>
      </c>
      <c r="N27">
        <f t="shared" si="27"/>
        <v>1.5273038886990875</v>
      </c>
      <c r="O27">
        <f t="shared" si="28"/>
        <v>1.540341828040662</v>
      </c>
      <c r="Y27">
        <v>8.5000000000000006E-2</v>
      </c>
      <c r="Z27">
        <f t="shared" si="1"/>
        <v>4.2920611292484187E-2</v>
      </c>
      <c r="AA27">
        <f t="shared" si="2"/>
        <v>-0.14781098345134011</v>
      </c>
    </row>
    <row r="28" spans="1:36" x14ac:dyDescent="0.2">
      <c r="A28">
        <v>0.98</v>
      </c>
      <c r="B28">
        <f t="shared" si="3"/>
        <v>0.60425433020018438</v>
      </c>
      <c r="C28">
        <f t="shared" si="16"/>
        <v>1.5468655712692982</v>
      </c>
      <c r="D28">
        <f t="shared" si="17"/>
        <v>25.252525252525203</v>
      </c>
      <c r="E28">
        <f t="shared" si="18"/>
        <v>5.000990294127063</v>
      </c>
      <c r="F28">
        <f t="shared" si="19"/>
        <v>2.5381024581080172</v>
      </c>
      <c r="G28">
        <f t="shared" si="20"/>
        <v>1.0195761108161459</v>
      </c>
      <c r="H28">
        <f t="shared" si="21"/>
        <v>0.72855956592214888</v>
      </c>
      <c r="I28">
        <f t="shared" si="22"/>
        <v>0.51009997959600084</v>
      </c>
      <c r="J28">
        <f t="shared" si="23"/>
        <v>0</v>
      </c>
      <c r="K28">
        <f t="shared" si="24"/>
        <v>1.3714392159104158</v>
      </c>
      <c r="L28">
        <f t="shared" si="25"/>
        <v>1.4701174715965619</v>
      </c>
      <c r="M28">
        <f t="shared" si="26"/>
        <v>1.5304101350893613</v>
      </c>
      <c r="N28">
        <f t="shared" si="27"/>
        <v>1.5419413640013722</v>
      </c>
      <c r="O28">
        <f t="shared" si="28"/>
        <v>1.5505949936242527</v>
      </c>
      <c r="Y28">
        <v>0.09</v>
      </c>
      <c r="Z28">
        <f t="shared" si="1"/>
        <v>3.5400266472177339E-2</v>
      </c>
      <c r="AA28">
        <f t="shared" si="2"/>
        <v>-0.1541159866326022</v>
      </c>
    </row>
    <row r="29" spans="1:36" x14ac:dyDescent="0.2">
      <c r="A29">
        <v>0.99</v>
      </c>
      <c r="B29">
        <f t="shared" si="3"/>
        <v>0.59827966003361677</v>
      </c>
      <c r="C29">
        <f t="shared" si="16"/>
        <v>1.5588902802740465</v>
      </c>
      <c r="D29">
        <f t="shared" si="17"/>
        <v>50.25125628140696</v>
      </c>
      <c r="E29">
        <f t="shared" si="18"/>
        <v>5.0251884418026096</v>
      </c>
      <c r="F29">
        <f t="shared" si="19"/>
        <v>2.5220700209335978</v>
      </c>
      <c r="G29">
        <f t="shared" si="20"/>
        <v>1.0098970059567556</v>
      </c>
      <c r="H29">
        <f t="shared" si="21"/>
        <v>0.72142636493450152</v>
      </c>
      <c r="I29">
        <f t="shared" si="22"/>
        <v>0.50502499873743756</v>
      </c>
      <c r="J29">
        <f t="shared" si="23"/>
        <v>0</v>
      </c>
      <c r="K29">
        <f t="shared" si="24"/>
        <v>1.4706276493441572</v>
      </c>
      <c r="L29">
        <f t="shared" si="25"/>
        <v>1.520586038737068</v>
      </c>
      <c r="M29">
        <f t="shared" si="26"/>
        <v>1.5506980233128616</v>
      </c>
      <c r="N29">
        <f t="shared" si="27"/>
        <v>1.5564394489313109</v>
      </c>
      <c r="O29">
        <f t="shared" si="28"/>
        <v>1.5607461601332717</v>
      </c>
      <c r="Y29">
        <v>9.5000000000000001E-2</v>
      </c>
      <c r="Z29">
        <f t="shared" si="1"/>
        <v>2.7791439421792401E-2</v>
      </c>
      <c r="AA29">
        <f t="shared" si="2"/>
        <v>-0.16003578010933711</v>
      </c>
    </row>
    <row r="30" spans="1:36" x14ac:dyDescent="0.2">
      <c r="A30">
        <v>1.01</v>
      </c>
      <c r="B30">
        <f t="shared" si="3"/>
        <v>0.58643336109661082</v>
      </c>
      <c r="C30">
        <f>ATAN(2*$C$6*A30/(1-A30^2))+3.1415</f>
        <v>1.5824912567363905</v>
      </c>
      <c r="D30">
        <f t="shared" si="17"/>
        <v>49.751243781094509</v>
      </c>
      <c r="E30">
        <f t="shared" si="18"/>
        <v>4.9261675475644031</v>
      </c>
      <c r="F30">
        <f t="shared" si="19"/>
        <v>2.4721896993976764</v>
      </c>
      <c r="G30">
        <f t="shared" si="20"/>
        <v>0.9899030040572353</v>
      </c>
      <c r="H30">
        <f t="shared" si="21"/>
        <v>0.70714213740944609</v>
      </c>
      <c r="I30">
        <f t="shared" si="22"/>
        <v>0.49502499876243755</v>
      </c>
      <c r="J30">
        <f t="shared" ref="J30:J38" si="29">ATAN(2*$D$6*A30/(1-A30^2))+3.1415</f>
        <v>3.1415000000000002</v>
      </c>
      <c r="K30">
        <f t="shared" ref="K30:K38" si="30">ATAN(2*$E$6*A30/(1-A30^2))+3.1415</f>
        <v>1.6698821536851336</v>
      </c>
      <c r="L30">
        <f t="shared" ref="L30:L38" si="31">ATAN(2*$F$6*A30/(1-A30^2))+1.57075*2</f>
        <v>1.6204151584000952</v>
      </c>
      <c r="M30">
        <f t="shared" ref="M30:M38" si="32">ATAN(2*$G$6*A30/(1-A30^2))+1.57075*2</f>
        <v>1.5906020366698095</v>
      </c>
      <c r="N30">
        <f t="shared" ref="N30:N38" si="33">ATAN(2*$H$6*A30/(1-A30^2))+1.57075*2</f>
        <v>1.5849177087933322</v>
      </c>
      <c r="O30">
        <f t="shared" ref="O30:O38" si="34">ATAN(2*$I$6*A30/(1-A30^2))+1.57075*2</f>
        <v>1.5806538398668117</v>
      </c>
      <c r="Y30">
        <v>0.1</v>
      </c>
      <c r="Z30">
        <f t="shared" si="1"/>
        <v>2.0113148246354844E-2</v>
      </c>
      <c r="AA30">
        <f t="shared" si="2"/>
        <v>-0.16555556748082179</v>
      </c>
    </row>
    <row r="31" spans="1:36" x14ac:dyDescent="0.2">
      <c r="A31">
        <v>1.02</v>
      </c>
      <c r="B31">
        <f t="shared" si="3"/>
        <v>0.58056460057155845</v>
      </c>
      <c r="C31">
        <f t="shared" ref="C31:C94" si="35">ATAN(2*$C$6*A31/(1-A31^2))+3.1415</f>
        <v>1.5941606341257679</v>
      </c>
      <c r="D31">
        <f t="shared" si="17"/>
        <v>24.752475247524757</v>
      </c>
      <c r="E31">
        <f t="shared" si="18"/>
        <v>4.8085726558323767</v>
      </c>
      <c r="F31">
        <f t="shared" si="19"/>
        <v>2.4390522487035202</v>
      </c>
      <c r="G31">
        <f t="shared" si="20"/>
        <v>0.97962405007754749</v>
      </c>
      <c r="H31">
        <f t="shared" si="21"/>
        <v>0.70000002856000176</v>
      </c>
      <c r="I31">
        <f t="shared" si="22"/>
        <v>0.49009998039600078</v>
      </c>
      <c r="J31">
        <f t="shared" si="29"/>
        <v>3.1415000000000002</v>
      </c>
      <c r="K31">
        <f t="shared" si="30"/>
        <v>1.7662131545671764</v>
      </c>
      <c r="L31">
        <f t="shared" si="31"/>
        <v>1.6694015464652563</v>
      </c>
      <c r="M31">
        <f t="shared" si="32"/>
        <v>1.6102908238023801</v>
      </c>
      <c r="N31">
        <f t="shared" si="33"/>
        <v>1.5989874452445809</v>
      </c>
      <c r="O31">
        <f t="shared" si="34"/>
        <v>1.5905050063810806</v>
      </c>
      <c r="Y31">
        <v>0.105</v>
      </c>
      <c r="Z31">
        <f t="shared" si="1"/>
        <v>1.2384584675026513E-2</v>
      </c>
      <c r="AA31">
        <f t="shared" si="2"/>
        <v>-0.17066155215327722</v>
      </c>
    </row>
    <row r="32" spans="1:36" x14ac:dyDescent="0.2">
      <c r="A32">
        <v>1.03</v>
      </c>
      <c r="B32">
        <f t="shared" si="3"/>
        <v>0.57473388404419812</v>
      </c>
      <c r="C32">
        <f t="shared" si="35"/>
        <v>1.6057121173117941</v>
      </c>
      <c r="D32">
        <f t="shared" si="17"/>
        <v>16.420361247947469</v>
      </c>
      <c r="E32">
        <f t="shared" si="18"/>
        <v>4.6552024090858799</v>
      </c>
      <c r="F32">
        <f t="shared" si="19"/>
        <v>2.4010949261139691</v>
      </c>
      <c r="G32">
        <f t="shared" si="20"/>
        <v>0.96918117974764695</v>
      </c>
      <c r="H32">
        <f t="shared" si="21"/>
        <v>0.6928636460971842</v>
      </c>
      <c r="I32">
        <f t="shared" si="22"/>
        <v>0.48522490174195737</v>
      </c>
      <c r="J32">
        <f t="shared" si="29"/>
        <v>3.1415000000000002</v>
      </c>
      <c r="K32">
        <f t="shared" si="30"/>
        <v>1.8581474692045838</v>
      </c>
      <c r="L32">
        <f t="shared" si="31"/>
        <v>1.717456542134681</v>
      </c>
      <c r="M32">
        <f t="shared" si="32"/>
        <v>1.6297611310015143</v>
      </c>
      <c r="N32">
        <f t="shared" si="33"/>
        <v>1.6129116004373745</v>
      </c>
      <c r="O32">
        <f t="shared" si="34"/>
        <v>1.6002581720200881</v>
      </c>
      <c r="Y32">
        <v>0.11</v>
      </c>
      <c r="Z32">
        <f t="shared" si="1"/>
        <v>4.6250660917776356E-3</v>
      </c>
      <c r="AA32">
        <f t="shared" si="2"/>
        <v>-0.17534097182416766</v>
      </c>
    </row>
    <row r="33" spans="1:27" x14ac:dyDescent="0.2">
      <c r="A33">
        <v>1.04</v>
      </c>
      <c r="B33">
        <f t="shared" si="3"/>
        <v>0.56894245595656912</v>
      </c>
      <c r="C33">
        <f t="shared" si="35"/>
        <v>1.6171460710502392</v>
      </c>
      <c r="D33">
        <f t="shared" si="17"/>
        <v>12.254901960784297</v>
      </c>
      <c r="E33">
        <f t="shared" si="18"/>
        <v>4.4756032051611436</v>
      </c>
      <c r="F33">
        <f t="shared" si="19"/>
        <v>2.3588936866239898</v>
      </c>
      <c r="G33">
        <f t="shared" si="20"/>
        <v>0.95859233950056</v>
      </c>
      <c r="H33">
        <f t="shared" si="21"/>
        <v>0.68573710670840737</v>
      </c>
      <c r="I33">
        <f t="shared" si="22"/>
        <v>0.48039969254419679</v>
      </c>
      <c r="J33">
        <f t="shared" si="29"/>
        <v>3.1415000000000002</v>
      </c>
      <c r="K33">
        <f t="shared" si="30"/>
        <v>1.9445612121241613</v>
      </c>
      <c r="L33">
        <f t="shared" si="31"/>
        <v>1.7643982877021707</v>
      </c>
      <c r="M33">
        <f t="shared" si="32"/>
        <v>1.6490047951378974</v>
      </c>
      <c r="N33">
        <f t="shared" si="33"/>
        <v>1.6266890629598492</v>
      </c>
      <c r="O33">
        <f t="shared" si="34"/>
        <v>1.6099143349195131</v>
      </c>
      <c r="Y33">
        <v>0.115</v>
      </c>
      <c r="Z33">
        <f t="shared" si="1"/>
        <v>-3.1460127480128293E-3</v>
      </c>
      <c r="AA33">
        <f t="shared" si="2"/>
        <v>-0.17958213038131057</v>
      </c>
    </row>
    <row r="34" spans="1:27" x14ac:dyDescent="0.2">
      <c r="A34">
        <v>1.05</v>
      </c>
      <c r="B34">
        <f t="shared" si="3"/>
        <v>0.56319148688562382</v>
      </c>
      <c r="C34">
        <f t="shared" si="35"/>
        <v>1.6284629106369846</v>
      </c>
      <c r="D34">
        <f t="shared" si="17"/>
        <v>9.756097560975606</v>
      </c>
      <c r="E34">
        <f t="shared" si="18"/>
        <v>4.2793600053776144</v>
      </c>
      <c r="F34">
        <f t="shared" si="19"/>
        <v>2.31306633575428</v>
      </c>
      <c r="G34">
        <f t="shared" si="20"/>
        <v>0.94787528255717446</v>
      </c>
      <c r="H34">
        <f t="shared" si="21"/>
        <v>0.67862438054263696</v>
      </c>
      <c r="I34">
        <f t="shared" si="22"/>
        <v>0.47562425683709869</v>
      </c>
      <c r="J34">
        <f t="shared" si="29"/>
        <v>3.1415000000000002</v>
      </c>
      <c r="K34">
        <f t="shared" si="30"/>
        <v>2.0247821962982995</v>
      </c>
      <c r="L34">
        <f t="shared" si="31"/>
        <v>1.8100722970100551</v>
      </c>
      <c r="M34">
        <f t="shared" si="32"/>
        <v>1.6680143956167532</v>
      </c>
      <c r="N34">
        <f t="shared" si="33"/>
        <v>1.6403188877019843</v>
      </c>
      <c r="O34">
        <f t="shared" si="34"/>
        <v>1.6194744915505406</v>
      </c>
      <c r="Y34">
        <v>0.12</v>
      </c>
      <c r="Z34">
        <f t="shared" si="1"/>
        <v>-1.0909228194344995E-2</v>
      </c>
      <c r="AA34">
        <f t="shared" si="2"/>
        <v>-0.18337442713706575</v>
      </c>
    </row>
    <row r="35" spans="1:27" x14ac:dyDescent="0.2">
      <c r="A35">
        <v>1.06</v>
      </c>
      <c r="B35">
        <f t="shared" si="3"/>
        <v>0.55748207485597978</v>
      </c>
      <c r="C35">
        <f t="shared" si="35"/>
        <v>1.639663099634854</v>
      </c>
      <c r="D35">
        <f t="shared" si="17"/>
        <v>8.0906148867313821</v>
      </c>
      <c r="E35">
        <f t="shared" si="18"/>
        <v>4.0749863918094142</v>
      </c>
      <c r="F35">
        <f t="shared" si="19"/>
        <v>2.2642466160840473</v>
      </c>
      <c r="G35">
        <f t="shared" si="20"/>
        <v>0.93704747873069716</v>
      </c>
      <c r="H35">
        <f t="shared" si="21"/>
        <v>0.67152928722525917</v>
      </c>
      <c r="I35">
        <f t="shared" si="22"/>
        <v>0.47089847428894327</v>
      </c>
      <c r="J35">
        <f t="shared" si="29"/>
        <v>3.1415000000000002</v>
      </c>
      <c r="K35">
        <f t="shared" si="30"/>
        <v>2.0985434624781973</v>
      </c>
      <c r="L35">
        <f t="shared" si="31"/>
        <v>1.8543528706294952</v>
      </c>
      <c r="M35">
        <f t="shared" si="32"/>
        <v>1.6867832511037075</v>
      </c>
      <c r="N35">
        <f t="shared" si="33"/>
        <v>1.6538002911160152</v>
      </c>
      <c r="O35">
        <f t="shared" si="34"/>
        <v>1.6289396362191815</v>
      </c>
      <c r="Y35">
        <v>0.125</v>
      </c>
      <c r="Z35">
        <f t="shared" si="1"/>
        <v>-1.8645176251607547E-2</v>
      </c>
      <c r="AA35">
        <f t="shared" si="2"/>
        <v>-0.18670838332453382</v>
      </c>
    </row>
    <row r="36" spans="1:27" x14ac:dyDescent="0.2">
      <c r="A36">
        <v>1.07</v>
      </c>
      <c r="B36">
        <f t="shared" si="3"/>
        <v>0.55181524676191107</v>
      </c>
      <c r="C36">
        <f t="shared" si="35"/>
        <v>1.6507471476111848</v>
      </c>
      <c r="D36">
        <f t="shared" si="17"/>
        <v>6.9013112491373345</v>
      </c>
      <c r="E36">
        <f t="shared" si="18"/>
        <v>3.8693475774287176</v>
      </c>
      <c r="F36">
        <f t="shared" si="19"/>
        <v>2.2130610244569535</v>
      </c>
      <c r="G36">
        <f t="shared" si="20"/>
        <v>0.92612603253191361</v>
      </c>
      <c r="H36">
        <f t="shared" si="21"/>
        <v>0.66445549271830628</v>
      </c>
      <c r="I36">
        <f t="shared" si="22"/>
        <v>0.46622220150123544</v>
      </c>
      <c r="J36">
        <f t="shared" si="29"/>
        <v>3.1415000000000002</v>
      </c>
      <c r="K36">
        <f t="shared" si="30"/>
        <v>2.1658965370409513</v>
      </c>
      <c r="L36">
        <f t="shared" si="31"/>
        <v>1.897143114786723</v>
      </c>
      <c r="M36">
        <f t="shared" si="32"/>
        <v>1.7053054113220842</v>
      </c>
      <c r="N36">
        <f t="shared" si="33"/>
        <v>1.667132646189426</v>
      </c>
      <c r="O36">
        <f t="shared" si="34"/>
        <v>1.6383107605920137</v>
      </c>
      <c r="Y36">
        <v>0.13</v>
      </c>
      <c r="Z36">
        <f t="shared" si="1"/>
        <v>-2.6334521078461157E-2</v>
      </c>
      <c r="AA36">
        <f t="shared" si="2"/>
        <v>-0.18957566578953688</v>
      </c>
    </row>
    <row r="37" spans="1:27" x14ac:dyDescent="0.2">
      <c r="A37">
        <v>1.08</v>
      </c>
      <c r="B37">
        <f t="shared" si="3"/>
        <v>0.54619195988658409</v>
      </c>
      <c r="C37">
        <f t="shared" si="35"/>
        <v>1.6617156078924247</v>
      </c>
      <c r="D37">
        <f t="shared" si="17"/>
        <v>6.0096153846153806</v>
      </c>
      <c r="E37">
        <f t="shared" si="18"/>
        <v>3.6675347200113713</v>
      </c>
      <c r="F37">
        <f t="shared" si="19"/>
        <v>2.1601095784678561</v>
      </c>
      <c r="G37">
        <f t="shared" si="20"/>
        <v>0.91512760992788</v>
      </c>
      <c r="H37">
        <f t="shared" si="21"/>
        <v>0.65740650698655756</v>
      </c>
      <c r="I37">
        <f t="shared" si="22"/>
        <v>0.46159527326440181</v>
      </c>
      <c r="J37">
        <f t="shared" si="29"/>
        <v>3.1415000000000002</v>
      </c>
      <c r="K37">
        <f t="shared" si="30"/>
        <v>2.2271148628307711</v>
      </c>
      <c r="L37">
        <f t="shared" si="31"/>
        <v>1.9383737848982125</v>
      </c>
      <c r="M37">
        <f t="shared" si="32"/>
        <v>1.7235756443663661</v>
      </c>
      <c r="N37">
        <f t="shared" si="33"/>
        <v>1.6803154771735971</v>
      </c>
      <c r="O37">
        <f t="shared" si="34"/>
        <v>1.6475888532474796</v>
      </c>
      <c r="Y37">
        <v>0.13500000000000001</v>
      </c>
      <c r="Z37">
        <f t="shared" si="1"/>
        <v>-3.3958043317372073E-2</v>
      </c>
      <c r="AA37">
        <f t="shared" si="2"/>
        <v>-0.19196910781916432</v>
      </c>
    </row>
    <row r="38" spans="1:27" x14ac:dyDescent="0.2">
      <c r="A38">
        <v>1.0900000000000001</v>
      </c>
      <c r="B38">
        <f t="shared" si="3"/>
        <v>0.54061310350696323</v>
      </c>
      <c r="C38">
        <f t="shared" si="35"/>
        <v>1.6725690753415157</v>
      </c>
      <c r="D38">
        <f t="shared" si="17"/>
        <v>5.3163211057947857</v>
      </c>
      <c r="E38">
        <f t="shared" si="18"/>
        <v>3.4730260470989589</v>
      </c>
      <c r="F38">
        <f t="shared" si="19"/>
        <v>2.1059511287427357</v>
      </c>
      <c r="G38">
        <f t="shared" si="20"/>
        <v>0.90406837393261164</v>
      </c>
      <c r="H38">
        <f t="shared" si="21"/>
        <v>0.65038568242688644</v>
      </c>
      <c r="I38">
        <f t="shared" si="22"/>
        <v>0.45701750377039441</v>
      </c>
      <c r="J38">
        <f t="shared" si="29"/>
        <v>3.1415000000000002</v>
      </c>
      <c r="K38">
        <f t="shared" si="30"/>
        <v>2.2826072635169132</v>
      </c>
      <c r="L38">
        <f t="shared" si="31"/>
        <v>1.9780012287061233</v>
      </c>
      <c r="M38">
        <f t="shared" si="32"/>
        <v>1.7415894200012874</v>
      </c>
      <c r="N38">
        <f t="shared" si="33"/>
        <v>1.6933484541095749</v>
      </c>
      <c r="O38">
        <f t="shared" si="34"/>
        <v>1.6567748992518585</v>
      </c>
      <c r="Y38">
        <v>0.14000000000000001</v>
      </c>
      <c r="Z38">
        <f t="shared" si="1"/>
        <v>-4.1496688132996652E-2</v>
      </c>
      <c r="AA38">
        <f t="shared" si="2"/>
        <v>-0.19388272705482254</v>
      </c>
    </row>
    <row r="39" spans="1:27" x14ac:dyDescent="0.2">
      <c r="A39">
        <v>1.1000000000000001</v>
      </c>
      <c r="B39">
        <f t="shared" si="3"/>
        <v>0.53507950057327058</v>
      </c>
      <c r="C39">
        <f t="shared" si="35"/>
        <v>1.683308184163324</v>
      </c>
      <c r="D39">
        <f t="shared" si="4"/>
        <v>4.7619047619047574</v>
      </c>
      <c r="E39">
        <f t="shared" si="5"/>
        <v>3.2879797461071445</v>
      </c>
      <c r="F39">
        <f t="shared" si="6"/>
        <v>2.051093267690181</v>
      </c>
      <c r="G39">
        <f t="shared" si="7"/>
        <v>0.89296392904878863</v>
      </c>
      <c r="H39">
        <f t="shared" si="8"/>
        <v>0.64339621301577854</v>
      </c>
      <c r="I39">
        <f t="shared" si="9"/>
        <v>0.45248868778280532</v>
      </c>
      <c r="J39">
        <f>ATAN(2*$D$6*A39/(1-A39^2))+3.1415</f>
        <v>3.1415000000000002</v>
      </c>
      <c r="K39">
        <f>ATAN(2*$E$6*A39/(1-A39^2))+3.1415</f>
        <v>2.3328502137920895</v>
      </c>
      <c r="L39">
        <f>ATAN(2*$F$6*A39/(1-A39^2))+1.57075*2</f>
        <v>2.0160047170927897</v>
      </c>
      <c r="M39">
        <f>ATAN(2*$G$6*A39/(1-A39^2))+1.57075*2</f>
        <v>1.7593428894296068</v>
      </c>
      <c r="N39">
        <f>ATAN(2*$H$6*A39/(1-A39^2))+1.57075*2</f>
        <v>1.7062313871906045</v>
      </c>
      <c r="O39">
        <f>ATAN(2*$I$6*A39/(1-A39^2))+1.57075*2</f>
        <v>1.6658698797590705</v>
      </c>
      <c r="Y39">
        <v>0.14499999999999999</v>
      </c>
      <c r="Z39">
        <f t="shared" si="1"/>
        <v>-4.8931612839346113E-2</v>
      </c>
      <c r="AA39">
        <f t="shared" si="2"/>
        <v>-0.19531174044501601</v>
      </c>
    </row>
    <row r="40" spans="1:27" x14ac:dyDescent="0.2">
      <c r="A40">
        <v>1.2</v>
      </c>
      <c r="B40">
        <f t="shared" si="3"/>
        <v>0.48236965669329296</v>
      </c>
      <c r="C40">
        <f t="shared" si="35"/>
        <v>1.7845729977628779</v>
      </c>
      <c r="D40">
        <f t="shared" si="4"/>
        <v>2.2727272727272729</v>
      </c>
      <c r="E40">
        <f t="shared" si="5"/>
        <v>1.9952172111690554</v>
      </c>
      <c r="F40">
        <f t="shared" si="6"/>
        <v>1.5357377920848778</v>
      </c>
      <c r="G40">
        <f t="shared" si="7"/>
        <v>0.78239692990550724</v>
      </c>
      <c r="H40">
        <f t="shared" si="8"/>
        <v>0.57581679963109844</v>
      </c>
      <c r="I40">
        <f t="shared" si="9"/>
        <v>0.4098360655737705</v>
      </c>
      <c r="J40">
        <f t="shared" ref="J40:J103" si="36">ATAN(2*$D$6*A40/(1-A40^2))+3.1415</f>
        <v>3.1415000000000002</v>
      </c>
      <c r="K40">
        <f t="shared" ref="K40:K103" si="37">ATAN(2*$E$6*A40/(1-A40^2))+3.1415</f>
        <v>2.6421532783198698</v>
      </c>
      <c r="L40">
        <f t="shared" ref="L40:L103" si="38">ATAN(2*$F$6*A40/(1-A40^2))+1.57075*2</f>
        <v>2.3126509412110208</v>
      </c>
      <c r="M40">
        <f t="shared" ref="M40:M103" si="39">ATAN(2*$G$6*A40/(1-A40^2))+1.57075*2</f>
        <v>1.9221484672086553</v>
      </c>
      <c r="N40">
        <f t="shared" ref="N40:N103" si="40">ATAN(2*$H$6*A40/(1-A40^2))+1.57075*2</f>
        <v>1.8268550557707071</v>
      </c>
      <c r="O40">
        <f t="shared" ref="O40:O103" si="41">ATAN(2*$I$6*A40/(1-A40^2))+1.57075*2</f>
        <v>1.7520234476065937</v>
      </c>
      <c r="Y40">
        <v>0.15</v>
      </c>
      <c r="Z40">
        <f t="shared" si="1"/>
        <v>-5.6244233996688583E-2</v>
      </c>
      <c r="AA40">
        <f t="shared" si="2"/>
        <v>-0.19625257620048508</v>
      </c>
    </row>
    <row r="41" spans="1:27" x14ac:dyDescent="0.2">
      <c r="A41">
        <v>1.3</v>
      </c>
      <c r="B41">
        <f t="shared" si="3"/>
        <v>0.4346691024730473</v>
      </c>
      <c r="C41">
        <f t="shared" si="35"/>
        <v>1.8753142273523851</v>
      </c>
      <c r="D41">
        <f t="shared" si="4"/>
        <v>1.4492753623188401</v>
      </c>
      <c r="E41">
        <f t="shared" si="5"/>
        <v>1.3561893622089956</v>
      </c>
      <c r="F41">
        <f t="shared" si="6"/>
        <v>1.1574043065126773</v>
      </c>
      <c r="G41">
        <f t="shared" si="7"/>
        <v>0.67945507811496642</v>
      </c>
      <c r="H41">
        <f t="shared" si="8"/>
        <v>0.51376717596531962</v>
      </c>
      <c r="I41">
        <f t="shared" si="9"/>
        <v>0.3717472118959107</v>
      </c>
      <c r="J41">
        <f t="shared" si="36"/>
        <v>3.1415000000000002</v>
      </c>
      <c r="K41">
        <f t="shared" si="37"/>
        <v>2.7811420294752072</v>
      </c>
      <c r="L41">
        <f t="shared" si="38"/>
        <v>2.4956840805264306</v>
      </c>
      <c r="M41">
        <f t="shared" si="39"/>
        <v>2.0586626008401256</v>
      </c>
      <c r="N41">
        <f t="shared" si="40"/>
        <v>1.933082265283119</v>
      </c>
      <c r="O41">
        <f t="shared" si="41"/>
        <v>1.8301087475169278</v>
      </c>
      <c r="Y41">
        <v>0.155</v>
      </c>
      <c r="Z41">
        <f t="shared" si="1"/>
        <v>-6.3416273860470163E-2</v>
      </c>
      <c r="AA41">
        <f t="shared" si="2"/>
        <v>-0.19670288272181888</v>
      </c>
    </row>
    <row r="42" spans="1:27" x14ac:dyDescent="0.2">
      <c r="A42">
        <v>1.4</v>
      </c>
      <c r="B42">
        <f t="shared" si="3"/>
        <v>0.39199746757903697</v>
      </c>
      <c r="C42">
        <f t="shared" si="35"/>
        <v>1.9565221445997361</v>
      </c>
      <c r="D42">
        <f t="shared" si="4"/>
        <v>1.041666666666667</v>
      </c>
      <c r="E42">
        <f t="shared" si="5"/>
        <v>1.0000000000000002</v>
      </c>
      <c r="F42">
        <f t="shared" si="6"/>
        <v>0.89976968843586835</v>
      </c>
      <c r="G42">
        <f t="shared" si="7"/>
        <v>0.58909203703284141</v>
      </c>
      <c r="H42">
        <f t="shared" si="8"/>
        <v>0.45819525917714959</v>
      </c>
      <c r="I42">
        <f t="shared" si="9"/>
        <v>0.33783783783783788</v>
      </c>
      <c r="J42">
        <f t="shared" si="36"/>
        <v>3.1415000000000002</v>
      </c>
      <c r="K42">
        <f t="shared" si="37"/>
        <v>2.8577058907916721</v>
      </c>
      <c r="L42">
        <f t="shared" si="38"/>
        <v>2.6134255515736404</v>
      </c>
      <c r="M42">
        <f t="shared" si="39"/>
        <v>2.1717774277028528</v>
      </c>
      <c r="N42">
        <f t="shared" si="40"/>
        <v>2.0261547444559973</v>
      </c>
      <c r="O42">
        <f t="shared" si="41"/>
        <v>1.9010010280343572</v>
      </c>
      <c r="Y42">
        <v>0.16</v>
      </c>
      <c r="Z42">
        <f t="shared" si="1"/>
        <v>-7.0429806066157549E-2</v>
      </c>
      <c r="AA42">
        <f t="shared" si="2"/>
        <v>-0.19666153447722909</v>
      </c>
    </row>
    <row r="43" spans="1:27" x14ac:dyDescent="0.2">
      <c r="A43">
        <v>1.5</v>
      </c>
      <c r="B43">
        <f t="shared" si="3"/>
        <v>0.35410229389183395</v>
      </c>
      <c r="C43">
        <f t="shared" si="35"/>
        <v>2.0292308146944702</v>
      </c>
      <c r="D43">
        <f t="shared" si="4"/>
        <v>0.8</v>
      </c>
      <c r="E43">
        <f t="shared" si="5"/>
        <v>0.77790984158441401</v>
      </c>
      <c r="F43">
        <f t="shared" si="6"/>
        <v>0.72121844597461882</v>
      </c>
      <c r="G43">
        <f t="shared" si="7"/>
        <v>0.5121475197315839</v>
      </c>
      <c r="H43">
        <f t="shared" si="8"/>
        <v>0.40918708781414609</v>
      </c>
      <c r="I43">
        <f t="shared" si="9"/>
        <v>0.30769230769230771</v>
      </c>
      <c r="J43">
        <f t="shared" si="36"/>
        <v>3.1415000000000002</v>
      </c>
      <c r="K43">
        <f t="shared" si="37"/>
        <v>2.905955019279137</v>
      </c>
      <c r="L43">
        <f t="shared" si="38"/>
        <v>2.6939800248428303</v>
      </c>
      <c r="M43">
        <f t="shared" si="39"/>
        <v>2.265441949401807</v>
      </c>
      <c r="N43">
        <f t="shared" si="40"/>
        <v>2.1076144159451493</v>
      </c>
      <c r="O43">
        <f t="shared" si="41"/>
        <v>1.9654947929048652</v>
      </c>
      <c r="Y43">
        <v>0.16500000000000001</v>
      </c>
      <c r="Z43">
        <f t="shared" si="1"/>
        <v>-7.7267300435813493E-2</v>
      </c>
      <c r="AA43">
        <f t="shared" si="2"/>
        <v>-0.19612863481579354</v>
      </c>
    </row>
    <row r="44" spans="1:27" x14ac:dyDescent="0.2">
      <c r="A44">
        <v>1.6</v>
      </c>
      <c r="B44">
        <f t="shared" si="3"/>
        <v>0.32058780028855888</v>
      </c>
      <c r="C44">
        <f t="shared" si="35"/>
        <v>2.0944375176026453</v>
      </c>
      <c r="D44">
        <f t="shared" si="4"/>
        <v>0.64102564102564086</v>
      </c>
      <c r="E44">
        <f t="shared" si="5"/>
        <v>0.6279504491291602</v>
      </c>
      <c r="F44">
        <f t="shared" si="6"/>
        <v>0.59305680665047789</v>
      </c>
      <c r="G44">
        <f t="shared" si="7"/>
        <v>0.44750008726252544</v>
      </c>
      <c r="H44">
        <f t="shared" si="8"/>
        <v>0.36634214984588392</v>
      </c>
      <c r="I44">
        <f t="shared" si="9"/>
        <v>0.28089887640449435</v>
      </c>
      <c r="J44">
        <f t="shared" si="36"/>
        <v>3.1415000000000002</v>
      </c>
      <c r="K44">
        <f t="shared" si="37"/>
        <v>2.9391783716216966</v>
      </c>
      <c r="L44">
        <f t="shared" si="38"/>
        <v>2.7521832781668594</v>
      </c>
      <c r="M44">
        <f t="shared" si="39"/>
        <v>2.3434442847685002</v>
      </c>
      <c r="N44">
        <f t="shared" si="40"/>
        <v>2.1790286818236768</v>
      </c>
      <c r="O44">
        <f t="shared" si="41"/>
        <v>2.0243013693128757</v>
      </c>
      <c r="Y44">
        <v>0.17</v>
      </c>
      <c r="Z44">
        <f t="shared" si="1"/>
        <v>-8.3911666794412074E-2</v>
      </c>
      <c r="AA44">
        <f t="shared" si="2"/>
        <v>-0.19510551570913695</v>
      </c>
    </row>
    <row r="45" spans="1:27" x14ac:dyDescent="0.2">
      <c r="A45">
        <v>1.7</v>
      </c>
      <c r="B45">
        <f t="shared" si="3"/>
        <v>0.29100179240570184</v>
      </c>
      <c r="C45">
        <f t="shared" si="35"/>
        <v>2.1530599936698356</v>
      </c>
      <c r="D45">
        <f t="shared" si="4"/>
        <v>0.52910052910052918</v>
      </c>
      <c r="E45">
        <f t="shared" si="5"/>
        <v>0.52074152231077753</v>
      </c>
      <c r="F45">
        <f t="shared" si="6"/>
        <v>0.49785759873996666</v>
      </c>
      <c r="G45">
        <f t="shared" si="7"/>
        <v>0.39338080327355524</v>
      </c>
      <c r="H45">
        <f t="shared" si="8"/>
        <v>0.32903817121777057</v>
      </c>
      <c r="I45">
        <f t="shared" si="9"/>
        <v>0.25706940874035994</v>
      </c>
      <c r="J45">
        <f t="shared" si="36"/>
        <v>3.1415000000000002</v>
      </c>
      <c r="K45">
        <f t="shared" si="37"/>
        <v>2.9635095627934538</v>
      </c>
      <c r="L45">
        <f t="shared" si="38"/>
        <v>2.7961317905984076</v>
      </c>
      <c r="M45">
        <f t="shared" si="39"/>
        <v>2.408977295865979</v>
      </c>
      <c r="N45">
        <f t="shared" si="40"/>
        <v>2.2418475086411123</v>
      </c>
      <c r="O45">
        <f t="shared" si="41"/>
        <v>2.0780518654823892</v>
      </c>
      <c r="Y45">
        <v>0.17499999999999999</v>
      </c>
      <c r="Z45">
        <f t="shared" si="1"/>
        <v>-9.0346297686375879E-2</v>
      </c>
      <c r="AA45">
        <f t="shared" si="2"/>
        <v>-0.19359473442219591</v>
      </c>
    </row>
    <row r="46" spans="1:27" x14ac:dyDescent="0.2">
      <c r="A46">
        <v>1.8</v>
      </c>
      <c r="B46">
        <f t="shared" si="3"/>
        <v>0.26488869407394761</v>
      </c>
      <c r="C46">
        <f t="shared" si="35"/>
        <v>2.2059187771455329</v>
      </c>
      <c r="D46">
        <f t="shared" si="4"/>
        <v>0.4464285714285714</v>
      </c>
      <c r="E46">
        <f t="shared" si="5"/>
        <v>0.44077248717709766</v>
      </c>
      <c r="F46">
        <f t="shared" si="6"/>
        <v>0.42501275057377869</v>
      </c>
      <c r="G46">
        <f t="shared" si="7"/>
        <v>0.34799506017558246</v>
      </c>
      <c r="H46">
        <f t="shared" si="8"/>
        <v>0.29659099947764278</v>
      </c>
      <c r="I46">
        <f t="shared" si="9"/>
        <v>0.23584905660377356</v>
      </c>
      <c r="J46">
        <f t="shared" si="36"/>
        <v>3.1415000000000002</v>
      </c>
      <c r="K46">
        <f t="shared" si="37"/>
        <v>2.9821483590960831</v>
      </c>
      <c r="L46">
        <f t="shared" si="38"/>
        <v>2.830501719394459</v>
      </c>
      <c r="M46">
        <f t="shared" si="39"/>
        <v>2.4645851481575232</v>
      </c>
      <c r="N46">
        <f t="shared" si="40"/>
        <v>2.2973460138868291</v>
      </c>
      <c r="O46">
        <f t="shared" si="41"/>
        <v>2.1273029912153261</v>
      </c>
      <c r="Y46">
        <v>0.18</v>
      </c>
      <c r="Z46">
        <f t="shared" si="1"/>
        <v>-9.6555109885566009E-2</v>
      </c>
      <c r="AA46">
        <f t="shared" si="2"/>
        <v>-0.19160006712138805</v>
      </c>
    </row>
    <row r="47" spans="1:27" x14ac:dyDescent="0.2">
      <c r="A47">
        <v>1.9</v>
      </c>
      <c r="B47">
        <f t="shared" si="3"/>
        <v>0.24181871030345189</v>
      </c>
      <c r="C47">
        <f t="shared" si="35"/>
        <v>2.2537345171038234</v>
      </c>
      <c r="D47">
        <f t="shared" si="4"/>
        <v>0.38314176245210729</v>
      </c>
      <c r="E47">
        <f t="shared" si="5"/>
        <v>0.37914436461611012</v>
      </c>
      <c r="F47">
        <f t="shared" si="6"/>
        <v>0.36786341324568933</v>
      </c>
      <c r="G47">
        <f t="shared" si="7"/>
        <v>0.30975789336960163</v>
      </c>
      <c r="H47">
        <f t="shared" si="8"/>
        <v>0.26833964248246117</v>
      </c>
      <c r="I47">
        <f t="shared" si="9"/>
        <v>0.2169197396963124</v>
      </c>
      <c r="J47">
        <f t="shared" si="36"/>
        <v>3.1415000000000002</v>
      </c>
      <c r="K47">
        <f t="shared" si="37"/>
        <v>2.9969219866715675</v>
      </c>
      <c r="L47">
        <f t="shared" si="38"/>
        <v>2.858147326901904</v>
      </c>
      <c r="M47">
        <f t="shared" si="39"/>
        <v>2.5122482365037899</v>
      </c>
      <c r="N47">
        <f t="shared" si="40"/>
        <v>2.3466144552329928</v>
      </c>
      <c r="O47">
        <f t="shared" si="41"/>
        <v>2.1725441419259539</v>
      </c>
      <c r="Y47">
        <v>0.185</v>
      </c>
      <c r="Z47">
        <f t="shared" si="1"/>
        <v>-0.10252258459497146</v>
      </c>
      <c r="AA47">
        <f t="shared" si="2"/>
        <v>-0.18912649943616269</v>
      </c>
    </row>
    <row r="48" spans="1:27" x14ac:dyDescent="0.2">
      <c r="A48">
        <v>2</v>
      </c>
      <c r="B48">
        <f t="shared" si="3"/>
        <v>0.22140162602453781</v>
      </c>
      <c r="C48">
        <f t="shared" si="35"/>
        <v>2.297133351654062</v>
      </c>
      <c r="D48">
        <f t="shared" si="4"/>
        <v>0.33333333333333331</v>
      </c>
      <c r="E48">
        <f t="shared" si="5"/>
        <v>0.33040930022754489</v>
      </c>
      <c r="F48">
        <f t="shared" si="6"/>
        <v>0.32207831320041541</v>
      </c>
      <c r="G48">
        <f t="shared" si="7"/>
        <v>0.27735009811261457</v>
      </c>
      <c r="H48">
        <f t="shared" si="8"/>
        <v>0.24368508941428965</v>
      </c>
      <c r="I48">
        <f t="shared" si="9"/>
        <v>0.2</v>
      </c>
      <c r="J48">
        <f t="shared" si="36"/>
        <v>3.1415000000000002</v>
      </c>
      <c r="K48">
        <f t="shared" si="37"/>
        <v>3.008948467703326</v>
      </c>
      <c r="L48">
        <f t="shared" si="38"/>
        <v>2.8808976082526594</v>
      </c>
      <c r="M48">
        <f t="shared" si="39"/>
        <v>2.5534973964524328</v>
      </c>
      <c r="N48">
        <f t="shared" si="40"/>
        <v>2.3905709376020599</v>
      </c>
      <c r="O48">
        <f t="shared" si="41"/>
        <v>2.2142047819983879</v>
      </c>
      <c r="Y48">
        <v>0.19</v>
      </c>
      <c r="Z48">
        <f t="shared" si="1"/>
        <v>-0.10823380623561933</v>
      </c>
      <c r="AA48">
        <f t="shared" si="2"/>
        <v>-0.18618021399752385</v>
      </c>
    </row>
    <row r="49" spans="1:27" x14ac:dyDescent="0.2">
      <c r="A49">
        <v>2.1</v>
      </c>
      <c r="B49">
        <f t="shared" si="3"/>
        <v>0.20329140012766686</v>
      </c>
      <c r="C49">
        <f t="shared" si="35"/>
        <v>2.336655997596059</v>
      </c>
      <c r="D49">
        <f t="shared" si="4"/>
        <v>0.29325513196480935</v>
      </c>
      <c r="E49">
        <f t="shared" si="5"/>
        <v>0.29105576223913171</v>
      </c>
      <c r="F49">
        <f t="shared" si="6"/>
        <v>0.28474316608852313</v>
      </c>
      <c r="G49">
        <f t="shared" si="7"/>
        <v>0.2497028742927675</v>
      </c>
      <c r="H49">
        <f t="shared" si="8"/>
        <v>0.22210325061624492</v>
      </c>
      <c r="I49">
        <f t="shared" si="9"/>
        <v>0.18484288354898337</v>
      </c>
      <c r="J49">
        <f t="shared" si="36"/>
        <v>3.1415000000000002</v>
      </c>
      <c r="K49">
        <f t="shared" si="37"/>
        <v>3.0189500576444455</v>
      </c>
      <c r="L49">
        <f t="shared" si="38"/>
        <v>2.8999743618231926</v>
      </c>
      <c r="M49">
        <f t="shared" si="39"/>
        <v>2.5895178458816219</v>
      </c>
      <c r="N49">
        <f t="shared" si="40"/>
        <v>2.4299828662554526</v>
      </c>
      <c r="O49">
        <f t="shared" si="41"/>
        <v>2.2526615801978025</v>
      </c>
      <c r="Y49">
        <v>0.19500000000000001</v>
      </c>
      <c r="Z49">
        <f t="shared" si="1"/>
        <v>-0.11367449972775484</v>
      </c>
      <c r="AA49">
        <f t="shared" si="2"/>
        <v>-0.18276857498467225</v>
      </c>
    </row>
    <row r="50" spans="1:27" x14ac:dyDescent="0.2">
      <c r="A50">
        <v>2.2000000000000002</v>
      </c>
      <c r="B50">
        <f t="shared" si="3"/>
        <v>0.18718562943091774</v>
      </c>
      <c r="C50">
        <f t="shared" si="35"/>
        <v>2.3727680363834551</v>
      </c>
      <c r="D50">
        <f t="shared" si="4"/>
        <v>0.26041666666666663</v>
      </c>
      <c r="E50">
        <f t="shared" si="5"/>
        <v>0.25872376900338534</v>
      </c>
      <c r="F50">
        <f t="shared" si="6"/>
        <v>0.25383654128340472</v>
      </c>
      <c r="G50">
        <f t="shared" si="7"/>
        <v>0.22595999669093333</v>
      </c>
      <c r="H50">
        <f t="shared" si="8"/>
        <v>0.20314464090988488</v>
      </c>
      <c r="I50">
        <f t="shared" si="9"/>
        <v>0.17123287671232876</v>
      </c>
      <c r="J50">
        <f t="shared" si="36"/>
        <v>3.1415000000000002</v>
      </c>
      <c r="K50">
        <f t="shared" si="37"/>
        <v>3.0274142208318406</v>
      </c>
      <c r="L50">
        <f t="shared" si="38"/>
        <v>2.9162232207859451</v>
      </c>
      <c r="M50">
        <f t="shared" si="39"/>
        <v>2.6212328099899538</v>
      </c>
      <c r="N50">
        <f t="shared" si="40"/>
        <v>2.4654900229246919</v>
      </c>
      <c r="O50">
        <f t="shared" si="41"/>
        <v>2.288245013746248</v>
      </c>
      <c r="Y50">
        <v>0.2</v>
      </c>
      <c r="Z50">
        <f t="shared" si="1"/>
        <v>-0.11883106617110598</v>
      </c>
      <c r="AA50">
        <f t="shared" si="2"/>
        <v>-0.17890010971839282</v>
      </c>
    </row>
    <row r="51" spans="1:27" x14ac:dyDescent="0.2">
      <c r="A51">
        <v>2.2999999999999998</v>
      </c>
      <c r="B51">
        <f t="shared" si="3"/>
        <v>0.17282241587553518</v>
      </c>
      <c r="C51">
        <f t="shared" si="35"/>
        <v>2.4058700414275398</v>
      </c>
      <c r="D51">
        <f t="shared" si="4"/>
        <v>0.23310023310023315</v>
      </c>
      <c r="E51">
        <f t="shared" si="5"/>
        <v>0.23177165090763927</v>
      </c>
      <c r="F51">
        <f t="shared" si="6"/>
        <v>0.22791819296196433</v>
      </c>
      <c r="G51">
        <f t="shared" si="7"/>
        <v>0.20543758044050478</v>
      </c>
      <c r="H51">
        <f t="shared" si="8"/>
        <v>0.18642802581826623</v>
      </c>
      <c r="I51">
        <f t="shared" si="9"/>
        <v>0.15898251192368842</v>
      </c>
      <c r="J51">
        <f t="shared" si="36"/>
        <v>3.1415000000000002</v>
      </c>
      <c r="K51">
        <f t="shared" si="37"/>
        <v>3.0346820228243012</v>
      </c>
      <c r="L51">
        <f t="shared" si="38"/>
        <v>2.9302474818056594</v>
      </c>
      <c r="M51">
        <f t="shared" si="39"/>
        <v>2.6493674505909346</v>
      </c>
      <c r="N51">
        <f t="shared" si="40"/>
        <v>2.4976260351464399</v>
      </c>
      <c r="O51">
        <f t="shared" si="41"/>
        <v>2.3212453189170184</v>
      </c>
      <c r="Y51">
        <v>0.20499999999999999</v>
      </c>
      <c r="Z51">
        <f t="shared" si="1"/>
        <v>-0.12369061683505224</v>
      </c>
      <c r="AA51">
        <f t="shared" si="2"/>
        <v>-0.17458448734719348</v>
      </c>
    </row>
    <row r="52" spans="1:27" x14ac:dyDescent="0.2">
      <c r="A52">
        <v>2.4</v>
      </c>
      <c r="B52">
        <f t="shared" si="3"/>
        <v>0.15997613377997361</v>
      </c>
      <c r="C52">
        <f t="shared" si="35"/>
        <v>2.4363068916098354</v>
      </c>
      <c r="D52">
        <f t="shared" si="4"/>
        <v>0.21008403361344538</v>
      </c>
      <c r="E52">
        <f t="shared" si="5"/>
        <v>0.20902396304462009</v>
      </c>
      <c r="F52">
        <f t="shared" si="6"/>
        <v>0.20593751452824863</v>
      </c>
      <c r="G52">
        <f t="shared" si="7"/>
        <v>0.1875885392366094</v>
      </c>
      <c r="H52">
        <f t="shared" si="8"/>
        <v>0.17163190404721887</v>
      </c>
      <c r="I52">
        <f t="shared" si="9"/>
        <v>0.14792899408284024</v>
      </c>
      <c r="J52">
        <f t="shared" si="36"/>
        <v>3.1415000000000002</v>
      </c>
      <c r="K52">
        <f t="shared" si="37"/>
        <v>3.0409994009453705</v>
      </c>
      <c r="L52">
        <f t="shared" si="38"/>
        <v>2.9424889326702406</v>
      </c>
      <c r="M52">
        <f t="shared" si="39"/>
        <v>2.6744966988970442</v>
      </c>
      <c r="N52">
        <f t="shared" si="40"/>
        <v>2.5268370480778346</v>
      </c>
      <c r="O52">
        <f t="shared" si="41"/>
        <v>2.3519177606004771</v>
      </c>
      <c r="Y52">
        <v>0.21</v>
      </c>
      <c r="Z52">
        <f t="shared" si="1"/>
        <v>-0.12824100537373892</v>
      </c>
      <c r="AA52">
        <f t="shared" si="2"/>
        <v>-0.16983249467946948</v>
      </c>
    </row>
    <row r="53" spans="1:27" x14ac:dyDescent="0.2">
      <c r="A53">
        <v>2.5</v>
      </c>
      <c r="B53">
        <f t="shared" si="3"/>
        <v>0.14845293684196759</v>
      </c>
      <c r="C53">
        <f t="shared" si="35"/>
        <v>2.4643760147174421</v>
      </c>
      <c r="D53">
        <f t="shared" si="4"/>
        <v>0.19047619047619047</v>
      </c>
      <c r="E53">
        <f t="shared" si="5"/>
        <v>0.18961818525599089</v>
      </c>
      <c r="F53">
        <f t="shared" si="6"/>
        <v>0.18711210788999519</v>
      </c>
      <c r="G53">
        <f t="shared" si="7"/>
        <v>0.17197343215693911</v>
      </c>
      <c r="H53">
        <f t="shared" si="8"/>
        <v>0.15848577035006547</v>
      </c>
      <c r="I53">
        <f t="shared" si="9"/>
        <v>0.13793103448275862</v>
      </c>
      <c r="J53">
        <f t="shared" si="36"/>
        <v>3.1415000000000002</v>
      </c>
      <c r="K53">
        <f t="shared" si="37"/>
        <v>3.0465482936572439</v>
      </c>
      <c r="L53">
        <f t="shared" si="38"/>
        <v>2.9532784946952293</v>
      </c>
      <c r="M53">
        <f t="shared" si="39"/>
        <v>2.6970807900989011</v>
      </c>
      <c r="N53">
        <f t="shared" si="40"/>
        <v>2.5534973964524328</v>
      </c>
      <c r="O53">
        <f t="shared" si="41"/>
        <v>2.3804872457752704</v>
      </c>
      <c r="Y53">
        <v>0.215</v>
      </c>
      <c r="Z53">
        <f t="shared" si="1"/>
        <v>-0.13247085818561577</v>
      </c>
      <c r="AA53">
        <f t="shared" si="2"/>
        <v>-0.1646560092221003</v>
      </c>
    </row>
    <row r="54" spans="1:27" x14ac:dyDescent="0.2">
      <c r="A54">
        <v>2.6</v>
      </c>
      <c r="B54">
        <f t="shared" si="3"/>
        <v>0.13808644528856456</v>
      </c>
      <c r="C54">
        <f t="shared" si="35"/>
        <v>2.4903345191473054</v>
      </c>
      <c r="D54">
        <f t="shared" si="4"/>
        <v>0.17361111111111108</v>
      </c>
      <c r="E54">
        <f t="shared" si="5"/>
        <v>0.17290793443610125</v>
      </c>
      <c r="F54">
        <f t="shared" si="6"/>
        <v>0.17084858699645381</v>
      </c>
      <c r="G54">
        <f t="shared" si="7"/>
        <v>0.15823735631973473</v>
      </c>
      <c r="H54">
        <f t="shared" si="8"/>
        <v>0.14676204471958204</v>
      </c>
      <c r="I54">
        <f t="shared" si="9"/>
        <v>0.12886597938144329</v>
      </c>
      <c r="J54">
        <f t="shared" si="36"/>
        <v>3.1415000000000002</v>
      </c>
      <c r="K54">
        <f t="shared" si="37"/>
        <v>3.0514662867938087</v>
      </c>
      <c r="L54">
        <f t="shared" si="38"/>
        <v>2.962868993486051</v>
      </c>
      <c r="M54">
        <f t="shared" si="39"/>
        <v>2.7174916732254593</v>
      </c>
      <c r="N54">
        <f t="shared" si="40"/>
        <v>2.5779225054941208</v>
      </c>
      <c r="O54">
        <f t="shared" si="41"/>
        <v>2.407152332363562</v>
      </c>
      <c r="Y54">
        <v>0.22</v>
      </c>
      <c r="Z54">
        <f t="shared" si="1"/>
        <v>-0.13636960284151789</v>
      </c>
      <c r="AA54">
        <f t="shared" si="2"/>
        <v>-0.15906796949286778</v>
      </c>
    </row>
    <row r="55" spans="1:27" x14ac:dyDescent="0.2">
      <c r="A55">
        <v>2.7</v>
      </c>
      <c r="B55">
        <f t="shared" si="3"/>
        <v>0.1287338196484413</v>
      </c>
      <c r="C55">
        <f t="shared" si="35"/>
        <v>2.5144052788737499</v>
      </c>
      <c r="D55">
        <f t="shared" si="4"/>
        <v>0.15898251192368837</v>
      </c>
      <c r="E55">
        <f t="shared" si="5"/>
        <v>0.15839985489059297</v>
      </c>
      <c r="F55">
        <f t="shared" si="6"/>
        <v>0.15668958462969804</v>
      </c>
      <c r="G55">
        <f t="shared" si="7"/>
        <v>0.14609192105811938</v>
      </c>
      <c r="H55">
        <f t="shared" si="8"/>
        <v>0.13626899887300412</v>
      </c>
      <c r="I55">
        <f t="shared" si="9"/>
        <v>0.12062726176115801</v>
      </c>
      <c r="J55">
        <f t="shared" si="36"/>
        <v>3.1415000000000002</v>
      </c>
      <c r="K55">
        <f t="shared" si="37"/>
        <v>3.0558594310374154</v>
      </c>
      <c r="L55">
        <f t="shared" si="38"/>
        <v>2.9714569773284971</v>
      </c>
      <c r="M55">
        <f t="shared" si="39"/>
        <v>2.7360327294124387</v>
      </c>
      <c r="N55">
        <f t="shared" si="40"/>
        <v>2.6003794014568147</v>
      </c>
      <c r="O55">
        <f t="shared" si="41"/>
        <v>2.4320886959781198</v>
      </c>
      <c r="Y55">
        <v>0.22500000000000001</v>
      </c>
      <c r="Z55">
        <f t="shared" si="1"/>
        <v>-0.13992749451023243</v>
      </c>
      <c r="AA55">
        <f t="shared" si="2"/>
        <v>-0.15308234268090018</v>
      </c>
    </row>
    <row r="56" spans="1:27" x14ac:dyDescent="0.2">
      <c r="A56">
        <v>2.8</v>
      </c>
      <c r="B56">
        <f t="shared" si="3"/>
        <v>0.12027229571787981</v>
      </c>
      <c r="C56">
        <f t="shared" si="35"/>
        <v>2.5367820824562659</v>
      </c>
      <c r="D56">
        <f t="shared" si="4"/>
        <v>0.14619883040935674</v>
      </c>
      <c r="E56">
        <f t="shared" si="5"/>
        <v>0.14571130062584164</v>
      </c>
      <c r="F56">
        <f t="shared" si="6"/>
        <v>0.14427746420619034</v>
      </c>
      <c r="G56">
        <f t="shared" si="7"/>
        <v>0.13530127522702307</v>
      </c>
      <c r="H56">
        <f t="shared" si="8"/>
        <v>0.12684473508747016</v>
      </c>
      <c r="I56">
        <f t="shared" si="9"/>
        <v>0.11312217194570136</v>
      </c>
      <c r="J56">
        <f t="shared" si="36"/>
        <v>3.1415000000000002</v>
      </c>
      <c r="K56">
        <f t="shared" si="37"/>
        <v>3.0598108484075235</v>
      </c>
      <c r="L56">
        <f t="shared" si="38"/>
        <v>2.9791976147092982</v>
      </c>
      <c r="M56">
        <f t="shared" si="39"/>
        <v>2.7529535951283721</v>
      </c>
      <c r="N56">
        <f t="shared" si="40"/>
        <v>2.6210952331771007</v>
      </c>
      <c r="O56">
        <f t="shared" si="41"/>
        <v>2.4554521191585934</v>
      </c>
      <c r="Y56">
        <v>0.23</v>
      </c>
      <c r="Z56">
        <f t="shared" si="1"/>
        <v>-0.14313564031550186</v>
      </c>
      <c r="AA56">
        <f t="shared" si="2"/>
        <v>-0.14671408973597322</v>
      </c>
    </row>
    <row r="57" spans="1:27" x14ac:dyDescent="0.2">
      <c r="A57">
        <v>2.9</v>
      </c>
      <c r="B57">
        <f t="shared" si="3"/>
        <v>0.11259618450219855</v>
      </c>
      <c r="C57">
        <f t="shared" si="35"/>
        <v>2.557633969827632</v>
      </c>
      <c r="D57">
        <f t="shared" si="4"/>
        <v>0.1349527665317139</v>
      </c>
      <c r="E57">
        <f t="shared" si="5"/>
        <v>0.13454125558951022</v>
      </c>
      <c r="F57">
        <f t="shared" si="6"/>
        <v>0.13332894836447209</v>
      </c>
      <c r="G57">
        <f t="shared" si="7"/>
        <v>0.12567128702225816</v>
      </c>
      <c r="H57">
        <f t="shared" si="8"/>
        <v>0.11835214629401877</v>
      </c>
      <c r="I57">
        <f t="shared" si="9"/>
        <v>0.10626992561105207</v>
      </c>
      <c r="J57">
        <f t="shared" si="36"/>
        <v>3.1415000000000002</v>
      </c>
      <c r="K57">
        <f t="shared" si="37"/>
        <v>3.0633866587041965</v>
      </c>
      <c r="L57">
        <f t="shared" si="38"/>
        <v>2.98621509737269</v>
      </c>
      <c r="M57">
        <f t="shared" si="39"/>
        <v>2.7684613953831105</v>
      </c>
      <c r="N57">
        <f t="shared" si="40"/>
        <v>2.6402641712821362</v>
      </c>
      <c r="O57">
        <f t="shared" si="41"/>
        <v>2.4773810649142294</v>
      </c>
      <c r="Y57">
        <v>0.23499999999999999</v>
      </c>
      <c r="Z57">
        <f t="shared" si="1"/>
        <v>-0.14598602156358292</v>
      </c>
      <c r="AA57">
        <f t="shared" si="2"/>
        <v>-0.13997912797392734</v>
      </c>
    </row>
    <row r="58" spans="1:27" x14ac:dyDescent="0.2">
      <c r="A58">
        <v>3</v>
      </c>
      <c r="B58">
        <f t="shared" si="3"/>
        <v>0.10561430577360789</v>
      </c>
      <c r="C58">
        <f t="shared" si="35"/>
        <v>2.5771088769392709</v>
      </c>
      <c r="D58">
        <f t="shared" si="4"/>
        <v>0.125</v>
      </c>
      <c r="E58">
        <f t="shared" si="5"/>
        <v>0.12464991373605705</v>
      </c>
      <c r="F58">
        <f t="shared" si="6"/>
        <v>0.12361704410853719</v>
      </c>
      <c r="G58">
        <f t="shared" si="7"/>
        <v>0.11704114719613057</v>
      </c>
      <c r="H58">
        <f t="shared" si="8"/>
        <v>0.11067473785474294</v>
      </c>
      <c r="I58">
        <f t="shared" si="9"/>
        <v>0.1</v>
      </c>
      <c r="J58">
        <f t="shared" si="36"/>
        <v>3.1415000000000002</v>
      </c>
      <c r="K58">
        <f t="shared" si="37"/>
        <v>3.0666401522892333</v>
      </c>
      <c r="L58">
        <f t="shared" si="38"/>
        <v>2.992610052390503</v>
      </c>
      <c r="M58">
        <f t="shared" si="39"/>
        <v>2.782729329729428</v>
      </c>
      <c r="N58">
        <f t="shared" si="40"/>
        <v>2.6580529984328014</v>
      </c>
      <c r="O58">
        <f t="shared" si="41"/>
        <v>2.4979988912067159</v>
      </c>
      <c r="Y58">
        <v>0.24</v>
      </c>
      <c r="Z58">
        <f t="shared" si="1"/>
        <v>-0.14847151378580542</v>
      </c>
      <c r="AA58">
        <f t="shared" si="2"/>
        <v>-0.1328942912916671</v>
      </c>
    </row>
    <row r="59" spans="1:27" x14ac:dyDescent="0.2">
      <c r="A59">
        <v>3.1</v>
      </c>
      <c r="B59">
        <f t="shared" si="3"/>
        <v>9.9247808949154526E-2</v>
      </c>
      <c r="C59">
        <f t="shared" si="35"/>
        <v>2.5953366971275487</v>
      </c>
      <c r="D59">
        <f t="shared" si="4"/>
        <v>0.11614401858304296</v>
      </c>
      <c r="E59">
        <f t="shared" si="5"/>
        <v>0.1158440616136763</v>
      </c>
      <c r="F59">
        <f t="shared" si="6"/>
        <v>0.11495794558585622</v>
      </c>
      <c r="G59">
        <f t="shared" si="7"/>
        <v>0.10927682701501859</v>
      </c>
      <c r="H59">
        <f t="shared" si="8"/>
        <v>0.10371318144443636</v>
      </c>
      <c r="I59">
        <f t="shared" si="9"/>
        <v>9.4250706880301585E-2</v>
      </c>
      <c r="J59">
        <f t="shared" si="36"/>
        <v>3.1415000000000002</v>
      </c>
      <c r="K59">
        <f t="shared" si="37"/>
        <v>3.069614786847167</v>
      </c>
      <c r="L59">
        <f t="shared" si="38"/>
        <v>2.9984649195499422</v>
      </c>
      <c r="M59">
        <f t="shared" si="39"/>
        <v>2.7959032925418974</v>
      </c>
      <c r="N59">
        <f t="shared" si="40"/>
        <v>2.6746056491608172</v>
      </c>
      <c r="O59">
        <f t="shared" si="41"/>
        <v>2.5174157568749336</v>
      </c>
      <c r="Y59">
        <v>0.245</v>
      </c>
      <c r="Z59">
        <f t="shared" si="1"/>
        <v>-0.15058590454603302</v>
      </c>
      <c r="AA59">
        <f t="shared" si="2"/>
        <v>-0.12547728809118669</v>
      </c>
    </row>
    <row r="60" spans="1:27" x14ac:dyDescent="0.2">
      <c r="A60">
        <v>3.2</v>
      </c>
      <c r="B60">
        <f t="shared" si="3"/>
        <v>9.3428331083328015E-2</v>
      </c>
      <c r="C60">
        <f t="shared" si="35"/>
        <v>2.6124318542125406</v>
      </c>
      <c r="D60">
        <f t="shared" si="4"/>
        <v>0.1082251082251082</v>
      </c>
      <c r="E60">
        <f t="shared" si="5"/>
        <v>0.10796643301249112</v>
      </c>
      <c r="F60">
        <f t="shared" si="6"/>
        <v>0.10720139633729754</v>
      </c>
      <c r="G60">
        <f t="shared" si="7"/>
        <v>0.1022659555467728</v>
      </c>
      <c r="H60">
        <f t="shared" si="8"/>
        <v>9.7382479133787808E-2</v>
      </c>
      <c r="I60">
        <f t="shared" si="9"/>
        <v>8.8967971530249101E-2</v>
      </c>
      <c r="J60">
        <f t="shared" si="36"/>
        <v>3.1415000000000002</v>
      </c>
      <c r="K60">
        <f t="shared" si="37"/>
        <v>3.0723463780379627</v>
      </c>
      <c r="L60">
        <f t="shared" si="38"/>
        <v>3.0038479168656904</v>
      </c>
      <c r="M60">
        <f t="shared" si="39"/>
        <v>2.8081070221127353</v>
      </c>
      <c r="N60">
        <f t="shared" si="40"/>
        <v>2.6900469084474459</v>
      </c>
      <c r="O60">
        <f t="shared" si="41"/>
        <v>2.5357302632500573</v>
      </c>
      <c r="Y60">
        <v>0.25</v>
      </c>
      <c r="Z60">
        <f t="shared" si="1"/>
        <v>-0.15232390896851858</v>
      </c>
      <c r="AA60">
        <f t="shared" si="2"/>
        <v>-0.11774665701778679</v>
      </c>
    </row>
    <row r="61" spans="1:27" x14ac:dyDescent="0.2">
      <c r="A61">
        <v>3.3</v>
      </c>
      <c r="B61">
        <f t="shared" si="3"/>
        <v>8.8096443544498193E-2</v>
      </c>
      <c r="C61">
        <f t="shared" si="35"/>
        <v>2.6284954683761592</v>
      </c>
      <c r="D61">
        <f t="shared" si="4"/>
        <v>0.10111223458038424</v>
      </c>
      <c r="E61">
        <f t="shared" si="5"/>
        <v>0.10088783534340115</v>
      </c>
      <c r="F61">
        <f t="shared" si="6"/>
        <v>0.10022349703732972</v>
      </c>
      <c r="G61">
        <f t="shared" si="7"/>
        <v>9.5913785705557544E-2</v>
      </c>
      <c r="H61">
        <f t="shared" si="8"/>
        <v>9.1609630389615393E-2</v>
      </c>
      <c r="I61">
        <f t="shared" si="9"/>
        <v>8.4104289318755271E-2</v>
      </c>
      <c r="J61">
        <f t="shared" si="36"/>
        <v>3.1415000000000002</v>
      </c>
      <c r="K61">
        <f t="shared" si="37"/>
        <v>3.0748647266343165</v>
      </c>
      <c r="L61">
        <f t="shared" si="38"/>
        <v>3.0088160086008489</v>
      </c>
      <c r="M61">
        <f t="shared" si="39"/>
        <v>2.8194461395768688</v>
      </c>
      <c r="N61">
        <f t="shared" si="40"/>
        <v>2.7044854363650073</v>
      </c>
      <c r="O61">
        <f t="shared" si="41"/>
        <v>2.5530308697776247</v>
      </c>
      <c r="Y61">
        <v>0.255</v>
      </c>
      <c r="Z61">
        <f t="shared" si="1"/>
        <v>-0.15368118294734112</v>
      </c>
      <c r="AA61">
        <f t="shared" si="2"/>
        <v>-0.10972172062311596</v>
      </c>
    </row>
    <row r="62" spans="1:27" x14ac:dyDescent="0.2">
      <c r="A62">
        <v>3.4</v>
      </c>
      <c r="B62">
        <f t="shared" si="3"/>
        <v>8.3200343357793222E-2</v>
      </c>
      <c r="C62">
        <f t="shared" si="35"/>
        <v>2.6436171829821058</v>
      </c>
      <c r="D62">
        <f t="shared" si="4"/>
        <v>9.469696969696971E-2</v>
      </c>
      <c r="E62">
        <f t="shared" si="5"/>
        <v>9.4501243928060807E-2</v>
      </c>
      <c r="F62">
        <f t="shared" si="6"/>
        <v>9.3921268969610755E-2</v>
      </c>
      <c r="G62">
        <f t="shared" si="7"/>
        <v>9.0139998784797462E-2</v>
      </c>
      <c r="H62">
        <f t="shared" si="8"/>
        <v>8.6331710949347953E-2</v>
      </c>
      <c r="I62">
        <f t="shared" si="9"/>
        <v>7.9617834394904469E-2</v>
      </c>
      <c r="J62">
        <f t="shared" si="36"/>
        <v>3.1415000000000002</v>
      </c>
      <c r="K62">
        <f t="shared" si="37"/>
        <v>3.0771948446819017</v>
      </c>
      <c r="L62">
        <f t="shared" si="38"/>
        <v>3.0134171569249597</v>
      </c>
      <c r="M62">
        <f t="shared" si="39"/>
        <v>2.8300113430699065</v>
      </c>
      <c r="N62">
        <f t="shared" si="40"/>
        <v>2.7180162518750741</v>
      </c>
      <c r="O62">
        <f t="shared" si="41"/>
        <v>2.5693971165653635</v>
      </c>
      <c r="Y62">
        <v>0.26</v>
      </c>
      <c r="Z62">
        <f t="shared" si="1"/>
        <v>-0.1546543340044082</v>
      </c>
      <c r="AA62">
        <f t="shared" si="2"/>
        <v>-0.10142253706885476</v>
      </c>
    </row>
    <row r="63" spans="1:27" x14ac:dyDescent="0.2">
      <c r="A63">
        <v>3.5</v>
      </c>
      <c r="B63">
        <f t="shared" si="3"/>
        <v>7.8694750564615584E-2</v>
      </c>
      <c r="C63">
        <f t="shared" si="35"/>
        <v>2.6578767091637436</v>
      </c>
      <c r="D63">
        <f t="shared" si="4"/>
        <v>8.8888888888888892E-2</v>
      </c>
      <c r="E63">
        <f t="shared" si="5"/>
        <v>8.8717315595880322E-2</v>
      </c>
      <c r="F63">
        <f t="shared" si="6"/>
        <v>8.8208496082561511E-2</v>
      </c>
      <c r="G63">
        <f t="shared" si="7"/>
        <v>8.4876157896069726E-2</v>
      </c>
      <c r="H63">
        <f t="shared" si="8"/>
        <v>8.1494287934472054E-2</v>
      </c>
      <c r="I63">
        <f t="shared" si="9"/>
        <v>7.5471698113207544E-2</v>
      </c>
      <c r="J63">
        <f t="shared" si="36"/>
        <v>3.1415000000000002</v>
      </c>
      <c r="K63">
        <f t="shared" si="37"/>
        <v>3.0793578917125317</v>
      </c>
      <c r="L63">
        <f t="shared" si="38"/>
        <v>3.017692051350529</v>
      </c>
      <c r="M63">
        <f t="shared" si="39"/>
        <v>2.8398809537337604</v>
      </c>
      <c r="N63">
        <f t="shared" si="40"/>
        <v>2.730722781402152</v>
      </c>
      <c r="O63">
        <f t="shared" si="41"/>
        <v>2.5849006819897777</v>
      </c>
      <c r="Y63">
        <v>0.26500000000000001</v>
      </c>
      <c r="Z63">
        <f t="shared" si="1"/>
        <v>-0.15524092976888443</v>
      </c>
      <c r="AA63">
        <f t="shared" si="2"/>
        <v>-9.2869849991757653E-2</v>
      </c>
    </row>
    <row r="64" spans="1:27" x14ac:dyDescent="0.2">
      <c r="A64">
        <v>3.6</v>
      </c>
      <c r="B64">
        <f t="shared" si="3"/>
        <v>7.4539978378682856E-2</v>
      </c>
      <c r="C64">
        <f t="shared" si="35"/>
        <v>2.6713451353075754</v>
      </c>
      <c r="D64">
        <f t="shared" si="4"/>
        <v>8.3612040133779264E-2</v>
      </c>
      <c r="E64">
        <f t="shared" si="5"/>
        <v>8.3460940656172516E-2</v>
      </c>
      <c r="F64">
        <f t="shared" si="6"/>
        <v>8.3012510396726108E-2</v>
      </c>
      <c r="G64">
        <f t="shared" si="7"/>
        <v>8.0063666320692117E-2</v>
      </c>
      <c r="H64">
        <f t="shared" si="8"/>
        <v>7.7050109158970259E-2</v>
      </c>
      <c r="I64">
        <f t="shared" si="9"/>
        <v>7.1633237822349566E-2</v>
      </c>
      <c r="J64">
        <f t="shared" si="36"/>
        <v>3.1415000000000002</v>
      </c>
      <c r="K64">
        <f t="shared" si="37"/>
        <v>3.0813718982005716</v>
      </c>
      <c r="L64">
        <f t="shared" si="38"/>
        <v>3.0216754522167291</v>
      </c>
      <c r="M64">
        <f t="shared" si="39"/>
        <v>2.8491229603831303</v>
      </c>
      <c r="N64">
        <f t="shared" si="40"/>
        <v>2.7426785559869811</v>
      </c>
      <c r="O64">
        <f t="shared" si="41"/>
        <v>2.5996062993231592</v>
      </c>
      <c r="Y64">
        <v>0.27</v>
      </c>
      <c r="Z64">
        <f t="shared" si="1"/>
        <v>-0.15543950405685178</v>
      </c>
      <c r="AA64">
        <f t="shared" si="2"/>
        <v>-8.408503665536414E-2</v>
      </c>
    </row>
    <row r="65" spans="1:27" x14ac:dyDescent="0.2">
      <c r="A65">
        <v>3.7</v>
      </c>
      <c r="B65">
        <f t="shared" si="3"/>
        <v>7.070114797223763E-2</v>
      </c>
      <c r="C65">
        <f t="shared" si="35"/>
        <v>2.6840860404058424</v>
      </c>
      <c r="D65">
        <f t="shared" si="4"/>
        <v>7.8802206461780919E-2</v>
      </c>
      <c r="E65">
        <f t="shared" si="5"/>
        <v>7.8668564545953029E-2</v>
      </c>
      <c r="F65">
        <f t="shared" si="6"/>
        <v>7.8271681865498266E-2</v>
      </c>
      <c r="G65">
        <f t="shared" si="7"/>
        <v>7.5652120973738468E-2</v>
      </c>
      <c r="H65">
        <f t="shared" si="8"/>
        <v>7.2958016114310506E-2</v>
      </c>
      <c r="I65">
        <f t="shared" si="9"/>
        <v>6.807351940095302E-2</v>
      </c>
      <c r="J65">
        <f t="shared" si="36"/>
        <v>3.1415000000000002</v>
      </c>
      <c r="K65">
        <f t="shared" si="37"/>
        <v>3.0832523307953039</v>
      </c>
      <c r="L65">
        <f t="shared" si="38"/>
        <v>3.0253972453082354</v>
      </c>
      <c r="M65">
        <f t="shared" si="39"/>
        <v>2.8577966733369653</v>
      </c>
      <c r="N65">
        <f t="shared" si="40"/>
        <v>2.7539486236044901</v>
      </c>
      <c r="O65">
        <f t="shared" si="41"/>
        <v>2.6135725527485913</v>
      </c>
      <c r="Y65">
        <v>0.27500000000000002</v>
      </c>
      <c r="Z65">
        <f t="shared" si="1"/>
        <v>-0.15524956053600583</v>
      </c>
      <c r="AA65">
        <f t="shared" si="2"/>
        <v>-7.5090054517972765E-2</v>
      </c>
    </row>
    <row r="66" spans="1:27" x14ac:dyDescent="0.2">
      <c r="A66">
        <v>3.8</v>
      </c>
      <c r="B66">
        <f t="shared" si="3"/>
        <v>6.7147524219908328E-2</v>
      </c>
      <c r="C66">
        <f t="shared" si="35"/>
        <v>2.696156443470588</v>
      </c>
      <c r="D66">
        <f t="shared" si="4"/>
        <v>7.4404761904761904E-2</v>
      </c>
      <c r="E66">
        <f t="shared" si="5"/>
        <v>7.4286086869275361E-2</v>
      </c>
      <c r="F66">
        <f t="shared" si="6"/>
        <v>7.3933440181361124E-2</v>
      </c>
      <c r="G66">
        <f t="shared" si="7"/>
        <v>7.1597976855340043E-2</v>
      </c>
      <c r="H66">
        <f t="shared" si="8"/>
        <v>6.9182039663041039E-2</v>
      </c>
      <c r="I66">
        <f t="shared" si="9"/>
        <v>6.476683937823835E-2</v>
      </c>
      <c r="J66">
        <f t="shared" si="36"/>
        <v>3.1415000000000002</v>
      </c>
      <c r="K66">
        <f t="shared" si="37"/>
        <v>3.085012538425961</v>
      </c>
      <c r="L66">
        <f t="shared" si="38"/>
        <v>3.0288832777416141</v>
      </c>
      <c r="M66">
        <f t="shared" si="39"/>
        <v>2.8659540712491194</v>
      </c>
      <c r="N66">
        <f t="shared" si="40"/>
        <v>2.764590729675179</v>
      </c>
      <c r="O66">
        <f t="shared" si="41"/>
        <v>2.6268525700578227</v>
      </c>
      <c r="Y66">
        <v>0.28000000000000003</v>
      </c>
      <c r="Z66">
        <f t="shared" si="1"/>
        <v>-0.15467157396622799</v>
      </c>
      <c r="AA66">
        <f t="shared" si="2"/>
        <v>-6.5907386350430808E-2</v>
      </c>
    </row>
    <row r="67" spans="1:27" x14ac:dyDescent="0.2">
      <c r="A67">
        <v>3.9</v>
      </c>
      <c r="B67">
        <f t="shared" si="3"/>
        <v>6.3851952614989105E-2</v>
      </c>
      <c r="C67">
        <f t="shared" si="35"/>
        <v>2.7076076156003634</v>
      </c>
      <c r="D67">
        <f t="shared" si="4"/>
        <v>7.0372976776917673E-2</v>
      </c>
      <c r="E67">
        <f t="shared" si="5"/>
        <v>7.0267198393060698E-2</v>
      </c>
      <c r="F67">
        <f t="shared" si="6"/>
        <v>6.9952702430225527E-2</v>
      </c>
      <c r="G67">
        <f t="shared" si="7"/>
        <v>6.7863457698533622E-2</v>
      </c>
      <c r="H67">
        <f t="shared" si="8"/>
        <v>6.5690645277228663E-2</v>
      </c>
      <c r="I67">
        <f t="shared" si="9"/>
        <v>6.1690314620604564E-2</v>
      </c>
      <c r="J67">
        <f t="shared" si="36"/>
        <v>3.1415000000000002</v>
      </c>
      <c r="K67">
        <f t="shared" si="37"/>
        <v>3.0866641076912966</v>
      </c>
      <c r="L67">
        <f t="shared" si="38"/>
        <v>3.0321560264295928</v>
      </c>
      <c r="M67">
        <f t="shared" si="39"/>
        <v>2.8736409050329548</v>
      </c>
      <c r="N67">
        <f t="shared" si="40"/>
        <v>2.7746563081308295</v>
      </c>
      <c r="O67">
        <f t="shared" si="41"/>
        <v>2.639494626713931</v>
      </c>
      <c r="Y67">
        <v>0.28499999999999998</v>
      </c>
      <c r="Z67">
        <f t="shared" si="1"/>
        <v>-0.1537069890129332</v>
      </c>
      <c r="AA67">
        <f t="shared" si="2"/>
        <v>-5.6559984040916236E-2</v>
      </c>
    </row>
    <row r="68" spans="1:27" x14ac:dyDescent="0.2">
      <c r="A68">
        <v>4</v>
      </c>
      <c r="B68">
        <f t="shared" si="3"/>
        <v>6.0790380877142412E-2</v>
      </c>
      <c r="C68">
        <f t="shared" si="35"/>
        <v>2.7184857766828983</v>
      </c>
      <c r="D68">
        <f t="shared" si="4"/>
        <v>6.6666666666666666E-2</v>
      </c>
      <c r="E68">
        <f t="shared" si="5"/>
        <v>6.657205364518845E-2</v>
      </c>
      <c r="F68">
        <f t="shared" si="6"/>
        <v>6.6290613370128593E-2</v>
      </c>
      <c r="G68">
        <f t="shared" si="7"/>
        <v>6.4415662640083082E-2</v>
      </c>
      <c r="H68">
        <f t="shared" si="8"/>
        <v>6.2456100981823796E-2</v>
      </c>
      <c r="I68">
        <f t="shared" si="9"/>
        <v>5.8823529411764705E-2</v>
      </c>
      <c r="J68">
        <f t="shared" si="36"/>
        <v>3.1415000000000002</v>
      </c>
      <c r="K68">
        <f t="shared" si="37"/>
        <v>3.0882171484403078</v>
      </c>
      <c r="L68">
        <f t="shared" si="38"/>
        <v>3.0352351371089212</v>
      </c>
      <c r="M68">
        <f t="shared" si="39"/>
        <v>2.8808976082526594</v>
      </c>
      <c r="N68">
        <f t="shared" si="40"/>
        <v>2.7841913169919001</v>
      </c>
      <c r="O68">
        <f t="shared" si="41"/>
        <v>2.6515426737462717</v>
      </c>
      <c r="Y68">
        <v>0.28999999999999998</v>
      </c>
      <c r="Z68">
        <f t="shared" si="1"/>
        <v>-0.15235821663615845</v>
      </c>
      <c r="AA68">
        <f t="shared" si="2"/>
        <v>-4.7071211227169472E-2</v>
      </c>
    </row>
    <row r="69" spans="1:27" x14ac:dyDescent="0.2">
      <c r="A69">
        <v>4.0999999999999996</v>
      </c>
      <c r="B69">
        <f t="shared" si="3"/>
        <v>5.794145154737193E-2</v>
      </c>
      <c r="C69">
        <f t="shared" si="35"/>
        <v>2.7288326949342996</v>
      </c>
      <c r="D69">
        <f t="shared" si="4"/>
        <v>6.3251106894370662E-2</v>
      </c>
      <c r="E69">
        <f t="shared" si="5"/>
        <v>6.316620312625644E-2</v>
      </c>
      <c r="F69">
        <f t="shared" si="6"/>
        <v>6.2913528683102501E-2</v>
      </c>
      <c r="G69">
        <f t="shared" si="7"/>
        <v>6.1225829842802323E-2</v>
      </c>
      <c r="H69">
        <f t="shared" si="8"/>
        <v>5.945394626271084E-2</v>
      </c>
      <c r="I69">
        <f t="shared" si="9"/>
        <v>5.6148231330713089E-2</v>
      </c>
      <c r="J69">
        <f t="shared" si="36"/>
        <v>3.1415000000000002</v>
      </c>
      <c r="K69">
        <f t="shared" si="37"/>
        <v>3.0896805251069575</v>
      </c>
      <c r="L69">
        <f t="shared" si="38"/>
        <v>3.0381378623635782</v>
      </c>
      <c r="M69">
        <f t="shared" si="39"/>
        <v>2.8877600522908926</v>
      </c>
      <c r="N69">
        <f t="shared" si="40"/>
        <v>2.7932369457806465</v>
      </c>
      <c r="O69">
        <f t="shared" si="41"/>
        <v>2.6630368000726792</v>
      </c>
      <c r="Y69">
        <v>0.29499999999999998</v>
      </c>
      <c r="Z69">
        <f t="shared" si="1"/>
        <v>-0.15062862806441871</v>
      </c>
      <c r="AA69">
        <f t="shared" si="2"/>
        <v>-3.7464784899567782E-2</v>
      </c>
    </row>
    <row r="70" spans="1:27" x14ac:dyDescent="0.2">
      <c r="A70">
        <v>4.2</v>
      </c>
      <c r="B70">
        <f t="shared" si="3"/>
        <v>5.5286154182510504E-2</v>
      </c>
      <c r="C70">
        <f t="shared" si="35"/>
        <v>2.7386862043722209</v>
      </c>
      <c r="D70">
        <f t="shared" si="4"/>
        <v>6.0096153846153841E-2</v>
      </c>
      <c r="E70">
        <f t="shared" si="5"/>
        <v>6.0019728125709708E-2</v>
      </c>
      <c r="F70">
        <f t="shared" si="6"/>
        <v>5.9792188646447496E-2</v>
      </c>
      <c r="G70">
        <f t="shared" si="7"/>
        <v>5.8268726472824668E-2</v>
      </c>
      <c r="H70">
        <f t="shared" si="8"/>
        <v>5.6662544301733814E-2</v>
      </c>
      <c r="I70">
        <f t="shared" si="9"/>
        <v>5.3648068669527899E-2</v>
      </c>
      <c r="J70">
        <f t="shared" si="36"/>
        <v>3.1415000000000002</v>
      </c>
      <c r="K70">
        <f t="shared" si="37"/>
        <v>3.0910620455089215</v>
      </c>
      <c r="L70">
        <f t="shared" si="38"/>
        <v>3.0408794201428746</v>
      </c>
      <c r="M70">
        <f t="shared" si="39"/>
        <v>2.8942601762270832</v>
      </c>
      <c r="N70">
        <f t="shared" si="40"/>
        <v>2.8018302168436997</v>
      </c>
      <c r="O70">
        <f t="shared" si="41"/>
        <v>2.6740136382621973</v>
      </c>
      <c r="Y70">
        <v>0.3</v>
      </c>
      <c r="Z70">
        <f t="shared" si="1"/>
        <v>-0.14852254636839093</v>
      </c>
      <c r="AA70">
        <f t="shared" si="2"/>
        <v>-2.7764716120999892E-2</v>
      </c>
    </row>
    <row r="71" spans="1:27" x14ac:dyDescent="0.2">
      <c r="A71">
        <v>4.3</v>
      </c>
      <c r="B71">
        <f t="shared" si="3"/>
        <v>5.2807527684665179E-2</v>
      </c>
      <c r="C71">
        <f t="shared" si="35"/>
        <v>2.7480806527742376</v>
      </c>
      <c r="D71">
        <f t="shared" si="4"/>
        <v>5.7175528873642086E-2</v>
      </c>
      <c r="E71">
        <f t="shared" si="5"/>
        <v>5.7106534952584019E-2</v>
      </c>
      <c r="F71">
        <f t="shared" si="6"/>
        <v>5.6901042203770208E-2</v>
      </c>
      <c r="G71">
        <f t="shared" si="7"/>
        <v>5.5522140938858218E-2</v>
      </c>
      <c r="H71">
        <f t="shared" si="8"/>
        <v>5.4062703198800327E-2</v>
      </c>
      <c r="I71">
        <f t="shared" si="9"/>
        <v>5.1308363263211906E-2</v>
      </c>
      <c r="J71">
        <f t="shared" si="36"/>
        <v>3.1415000000000002</v>
      </c>
      <c r="K71">
        <f t="shared" si="37"/>
        <v>3.0923686160098915</v>
      </c>
      <c r="L71">
        <f t="shared" si="38"/>
        <v>3.0434732891880891</v>
      </c>
      <c r="M71">
        <f t="shared" si="39"/>
        <v>2.9004265149742889</v>
      </c>
      <c r="N71">
        <f t="shared" si="40"/>
        <v>2.8100044984888624</v>
      </c>
      <c r="O71">
        <f t="shared" si="41"/>
        <v>2.6845067214162754</v>
      </c>
      <c r="Y71">
        <v>0.30499999999999999</v>
      </c>
      <c r="Z71">
        <f t="shared" si="1"/>
        <v>-0.14604523565548908</v>
      </c>
      <c r="AA71">
        <f t="shared" si="2"/>
        <v>-1.7995250011714221E-2</v>
      </c>
    </row>
    <row r="72" spans="1:27" x14ac:dyDescent="0.2">
      <c r="A72">
        <v>4.4000000000000004</v>
      </c>
      <c r="B72">
        <f t="shared" si="3"/>
        <v>5.049040489328236E-2</v>
      </c>
      <c r="C72">
        <f t="shared" si="35"/>
        <v>2.7570472905814123</v>
      </c>
      <c r="D72">
        <f t="shared" si="4"/>
        <v>5.4466230936819161E-2</v>
      </c>
      <c r="E72">
        <f t="shared" si="5"/>
        <v>5.4403775561532551E-2</v>
      </c>
      <c r="F72">
        <f t="shared" si="6"/>
        <v>5.4217690697271295E-2</v>
      </c>
      <c r="G72">
        <f t="shared" si="7"/>
        <v>5.2966458318168909E-2</v>
      </c>
      <c r="H72">
        <f t="shared" si="8"/>
        <v>5.1637354493130443E-2</v>
      </c>
      <c r="I72">
        <f t="shared" si="9"/>
        <v>4.9115913555992131E-2</v>
      </c>
      <c r="J72">
        <f t="shared" si="36"/>
        <v>3.1415000000000002</v>
      </c>
      <c r="K72">
        <f t="shared" si="37"/>
        <v>3.0936063698724245</v>
      </c>
      <c r="L72">
        <f t="shared" si="38"/>
        <v>3.0459314540109999</v>
      </c>
      <c r="M72">
        <f t="shared" si="39"/>
        <v>2.9062846443187027</v>
      </c>
      <c r="N72">
        <f t="shared" si="40"/>
        <v>2.8177899445188679</v>
      </c>
      <c r="O72">
        <f t="shared" si="41"/>
        <v>2.6945467977187341</v>
      </c>
      <c r="Y72">
        <v>0.31</v>
      </c>
      <c r="Z72">
        <f t="shared" si="1"/>
        <v>-0.14320288791233693</v>
      </c>
      <c r="AA72">
        <f t="shared" si="2"/>
        <v>-8.1808051491442171E-3</v>
      </c>
    </row>
    <row r="73" spans="1:27" x14ac:dyDescent="0.2">
      <c r="A73">
        <v>4.5</v>
      </c>
      <c r="B73">
        <f t="shared" si="3"/>
        <v>4.8321192883748594E-2</v>
      </c>
      <c r="C73">
        <f t="shared" si="35"/>
        <v>2.7656146094868692</v>
      </c>
      <c r="D73">
        <f t="shared" si="4"/>
        <v>5.1948051948051951E-2</v>
      </c>
      <c r="E73">
        <f t="shared" si="5"/>
        <v>5.1891369114567001E-2</v>
      </c>
      <c r="F73">
        <f t="shared" si="6"/>
        <v>5.1722427459895498E-2</v>
      </c>
      <c r="G73">
        <f t="shared" si="7"/>
        <v>5.058430378626378E-2</v>
      </c>
      <c r="H73">
        <f t="shared" si="8"/>
        <v>4.937127943089293E-2</v>
      </c>
      <c r="I73">
        <f t="shared" si="9"/>
        <v>4.7058823529411764E-2</v>
      </c>
      <c r="J73">
        <f t="shared" si="36"/>
        <v>3.1415000000000002</v>
      </c>
      <c r="K73">
        <f t="shared" si="37"/>
        <v>3.0947807740843238</v>
      </c>
      <c r="L73">
        <f t="shared" si="38"/>
        <v>3.0482646092454764</v>
      </c>
      <c r="M73">
        <f t="shared" si="39"/>
        <v>2.9118575577148653</v>
      </c>
      <c r="N73">
        <f t="shared" si="40"/>
        <v>2.8252138720878457</v>
      </c>
      <c r="O73">
        <f t="shared" si="41"/>
        <v>2.7041621082521163</v>
      </c>
      <c r="Y73">
        <v>0.315</v>
      </c>
      <c r="Z73">
        <f t="shared" si="1"/>
        <v>-0.14000260752802629</v>
      </c>
      <c r="AA73">
        <f t="shared" si="2"/>
        <v>1.6540874658176007E-3</v>
      </c>
    </row>
    <row r="74" spans="1:27" x14ac:dyDescent="0.2">
      <c r="A74">
        <v>4.5999999999999996</v>
      </c>
      <c r="B74">
        <f t="shared" si="3"/>
        <v>4.6287683504018989E-2</v>
      </c>
      <c r="C74">
        <f t="shared" si="35"/>
        <v>2.7738086380316727</v>
      </c>
      <c r="D74">
        <f t="shared" si="4"/>
        <v>4.9603174603174614E-2</v>
      </c>
      <c r="E74">
        <f t="shared" si="5"/>
        <v>4.9551604690779683E-2</v>
      </c>
      <c r="F74">
        <f t="shared" si="6"/>
        <v>4.9397854696964415E-2</v>
      </c>
      <c r="G74">
        <f t="shared" si="7"/>
        <v>4.8360241902651438E-2</v>
      </c>
      <c r="H74">
        <f t="shared" si="8"/>
        <v>4.7250875148650721E-2</v>
      </c>
      <c r="I74">
        <f t="shared" si="9"/>
        <v>4.5126353790613728E-2</v>
      </c>
      <c r="J74">
        <f t="shared" si="36"/>
        <v>3.1415000000000002</v>
      </c>
      <c r="K74">
        <f t="shared" si="37"/>
        <v>3.0958967187803492</v>
      </c>
      <c r="L74">
        <f t="shared" si="38"/>
        <v>3.0504823310613909</v>
      </c>
      <c r="M74">
        <f t="shared" si="39"/>
        <v>2.9171659867398883</v>
      </c>
      <c r="N74">
        <f t="shared" si="40"/>
        <v>2.8323010876729255</v>
      </c>
      <c r="O74">
        <f t="shared" si="41"/>
        <v>2.7133786328723573</v>
      </c>
      <c r="Y74">
        <v>0.32</v>
      </c>
      <c r="Z74">
        <f t="shared" si="1"/>
        <v>-0.13645239353684402</v>
      </c>
      <c r="AA74">
        <f t="shared" si="2"/>
        <v>1.1484845723547061E-2</v>
      </c>
    </row>
    <row r="75" spans="1:27" x14ac:dyDescent="0.2">
      <c r="A75">
        <v>4.7</v>
      </c>
      <c r="B75">
        <f t="shared" si="3"/>
        <v>4.4378889579612252E-2</v>
      </c>
      <c r="C75">
        <f t="shared" si="35"/>
        <v>2.7816532003595897</v>
      </c>
      <c r="D75">
        <f t="shared" si="4"/>
        <v>4.7415836889521092E-2</v>
      </c>
      <c r="E75">
        <f t="shared" si="5"/>
        <v>4.7368809649044843E-2</v>
      </c>
      <c r="F75">
        <f t="shared" si="6"/>
        <v>4.7228563064249066E-2</v>
      </c>
      <c r="G75">
        <f t="shared" si="7"/>
        <v>4.6280521984775148E-2</v>
      </c>
      <c r="H75">
        <f t="shared" si="8"/>
        <v>4.5263954334185619E-2</v>
      </c>
      <c r="I75">
        <f t="shared" si="9"/>
        <v>4.3308791684711988E-2</v>
      </c>
      <c r="J75">
        <f t="shared" si="36"/>
        <v>3.1415000000000002</v>
      </c>
      <c r="K75">
        <f t="shared" si="37"/>
        <v>3.0969585924998606</v>
      </c>
      <c r="L75">
        <f t="shared" si="38"/>
        <v>3.0525932217057838</v>
      </c>
      <c r="M75">
        <f t="shared" si="39"/>
        <v>2.9222286748002935</v>
      </c>
      <c r="N75">
        <f t="shared" si="40"/>
        <v>2.8390741692338732</v>
      </c>
      <c r="O75">
        <f t="shared" si="41"/>
        <v>2.722220308251575</v>
      </c>
      <c r="Y75">
        <v>0.32500000000000001</v>
      </c>
      <c r="Z75">
        <f t="shared" ref="Z75:Z138" si="42">$W$3*SIN($Q$3*Y75-$Z$3)</f>
        <v>-0.13256111962485254</v>
      </c>
      <c r="AA75">
        <f t="shared" ref="AA75:AA138" si="43">$U$3*SIN($Q$3*Y75)</f>
        <v>2.1286897848159594E-2</v>
      </c>
    </row>
    <row r="76" spans="1:27" x14ac:dyDescent="0.2">
      <c r="A76">
        <v>4.8</v>
      </c>
      <c r="B76">
        <f t="shared" si="3"/>
        <v>4.2584902960759688E-2</v>
      </c>
      <c r="C76">
        <f t="shared" si="35"/>
        <v>2.7891701433132696</v>
      </c>
      <c r="D76">
        <f t="shared" si="4"/>
        <v>4.5372050816696916E-2</v>
      </c>
      <c r="E76">
        <f t="shared" si="5"/>
        <v>4.5329071424433813E-2</v>
      </c>
      <c r="F76">
        <f t="shared" si="6"/>
        <v>4.5200862397288648E-2</v>
      </c>
      <c r="G76">
        <f t="shared" si="7"/>
        <v>4.4332861677541732E-2</v>
      </c>
      <c r="H76">
        <f t="shared" si="8"/>
        <v>4.3399573054460176E-2</v>
      </c>
      <c r="I76">
        <f t="shared" si="9"/>
        <v>4.15973377703827E-2</v>
      </c>
      <c r="J76">
        <f t="shared" si="36"/>
        <v>3.1415000000000002</v>
      </c>
      <c r="K76">
        <f t="shared" si="37"/>
        <v>3.0979703458467198</v>
      </c>
      <c r="L76">
        <f t="shared" si="38"/>
        <v>3.0546050319886211</v>
      </c>
      <c r="M76">
        <f t="shared" si="39"/>
        <v>2.9270626118657357</v>
      </c>
      <c r="N76">
        <f t="shared" si="40"/>
        <v>2.8455537112421654</v>
      </c>
      <c r="O76">
        <f t="shared" si="41"/>
        <v>2.7307092216204656</v>
      </c>
      <c r="Y76">
        <v>0.33</v>
      </c>
      <c r="Z76">
        <f t="shared" si="42"/>
        <v>-0.12833851195029547</v>
      </c>
      <c r="AA76">
        <f t="shared" si="43"/>
        <v>3.1035743814153912E-2</v>
      </c>
    </row>
    <row r="77" spans="1:27" x14ac:dyDescent="0.2">
      <c r="A77">
        <v>4.9000000000000004</v>
      </c>
      <c r="B77">
        <f t="shared" si="3"/>
        <v>4.0896771201150151E-2</v>
      </c>
      <c r="C77">
        <f t="shared" si="35"/>
        <v>2.7963795362501411</v>
      </c>
      <c r="D77">
        <f t="shared" si="4"/>
        <v>4.3459365493263791E-2</v>
      </c>
      <c r="E77">
        <f t="shared" si="5"/>
        <v>4.3420003058153404E-2</v>
      </c>
      <c r="F77">
        <f t="shared" si="6"/>
        <v>4.3302554399643554E-2</v>
      </c>
      <c r="G77">
        <f t="shared" si="7"/>
        <v>4.2506262311185088E-2</v>
      </c>
      <c r="H77">
        <f t="shared" si="8"/>
        <v>4.1647882357240651E-2</v>
      </c>
      <c r="I77">
        <f t="shared" si="9"/>
        <v>3.9984006397441013E-2</v>
      </c>
      <c r="J77">
        <f t="shared" si="36"/>
        <v>3.1415000000000002</v>
      </c>
      <c r="K77">
        <f t="shared" si="37"/>
        <v>3.0989355455976901</v>
      </c>
      <c r="L77">
        <f t="shared" si="38"/>
        <v>3.0565247655648324</v>
      </c>
      <c r="M77">
        <f t="shared" si="39"/>
        <v>2.9316832365623728</v>
      </c>
      <c r="N77">
        <f t="shared" si="40"/>
        <v>2.8517585381304817</v>
      </c>
      <c r="O77">
        <f t="shared" si="41"/>
        <v>2.7388657832507186</v>
      </c>
      <c r="Y77">
        <v>0.33500000000000002</v>
      </c>
      <c r="Z77">
        <f t="shared" si="42"/>
        <v>-0.12379512483326761</v>
      </c>
      <c r="AA77">
        <f t="shared" si="43"/>
        <v>4.0707016583715686E-2</v>
      </c>
    </row>
    <row r="78" spans="1:27" x14ac:dyDescent="0.2">
      <c r="A78">
        <v>5</v>
      </c>
      <c r="B78">
        <f t="shared" si="3"/>
        <v>3.9306390168307954E-2</v>
      </c>
      <c r="C78">
        <f t="shared" si="35"/>
        <v>2.8032998472872466</v>
      </c>
      <c r="D78">
        <f t="shared" si="4"/>
        <v>4.1666666666666664E-2</v>
      </c>
      <c r="E78">
        <f t="shared" si="5"/>
        <v>4.1630544712181333E-2</v>
      </c>
      <c r="F78">
        <f t="shared" si="6"/>
        <v>4.1522739926869986E-2</v>
      </c>
      <c r="G78">
        <f t="shared" si="7"/>
        <v>4.0790850822400207E-2</v>
      </c>
      <c r="H78">
        <f t="shared" si="8"/>
        <v>0.04</v>
      </c>
      <c r="I78">
        <f t="shared" si="9"/>
        <v>3.8461538461538464E-2</v>
      </c>
      <c r="J78">
        <f t="shared" si="36"/>
        <v>3.1415000000000002</v>
      </c>
      <c r="K78">
        <f t="shared" si="37"/>
        <v>3.0998574209014116</v>
      </c>
      <c r="L78">
        <f t="shared" si="38"/>
        <v>3.0583587681115589</v>
      </c>
      <c r="M78">
        <f t="shared" si="39"/>
        <v>2.9361046108102329</v>
      </c>
      <c r="N78">
        <f t="shared" si="40"/>
        <v>2.8577058907916721</v>
      </c>
      <c r="O78">
        <f t="shared" si="41"/>
        <v>2.7467088803002389</v>
      </c>
      <c r="Y78">
        <v>0.34</v>
      </c>
      <c r="Z78">
        <f t="shared" si="42"/>
        <v>-0.11894231437541122</v>
      </c>
      <c r="AA78">
        <f t="shared" si="43"/>
        <v>5.0276543011622668E-2</v>
      </c>
    </row>
    <row r="79" spans="1:27" x14ac:dyDescent="0.2">
      <c r="A79">
        <v>5.0999999999999996</v>
      </c>
      <c r="B79">
        <f t="shared" si="3"/>
        <v>3.7806410309838848E-2</v>
      </c>
      <c r="C79">
        <f t="shared" si="35"/>
        <v>2.8099480991260841</v>
      </c>
      <c r="D79">
        <f t="shared" si="4"/>
        <v>3.9984006397441027E-2</v>
      </c>
      <c r="E79">
        <f t="shared" si="5"/>
        <v>3.9950794941810287E-2</v>
      </c>
      <c r="F79">
        <f t="shared" si="6"/>
        <v>3.9851654934345296E-2</v>
      </c>
      <c r="G79">
        <f t="shared" si="7"/>
        <v>3.9177743959110105E-2</v>
      </c>
      <c r="H79">
        <f t="shared" si="8"/>
        <v>3.8447899270340154E-2</v>
      </c>
      <c r="I79">
        <f t="shared" si="9"/>
        <v>3.7023324694557574E-2</v>
      </c>
      <c r="J79">
        <f t="shared" si="36"/>
        <v>3.1415000000000002</v>
      </c>
      <c r="K79">
        <f t="shared" si="37"/>
        <v>3.1007389028937746</v>
      </c>
      <c r="L79">
        <f t="shared" si="38"/>
        <v>3.060112803908686</v>
      </c>
      <c r="M79">
        <f t="shared" si="39"/>
        <v>2.9403395712690412</v>
      </c>
      <c r="N79">
        <f t="shared" si="40"/>
        <v>2.8634115900015167</v>
      </c>
      <c r="O79">
        <f t="shared" si="41"/>
        <v>2.7542560142881092</v>
      </c>
      <c r="Y79">
        <v>0.34499999999999997</v>
      </c>
      <c r="Z79">
        <f t="shared" si="42"/>
        <v>-0.11379221007557637</v>
      </c>
      <c r="AA79">
        <f t="shared" si="43"/>
        <v>5.9720404265517862E-2</v>
      </c>
    </row>
    <row r="80" spans="1:27" x14ac:dyDescent="0.2">
      <c r="A80">
        <v>5.2</v>
      </c>
      <c r="B80">
        <f t="shared" si="3"/>
        <v>3.6390154652873964E-2</v>
      </c>
      <c r="C80">
        <f t="shared" si="35"/>
        <v>2.8163400071416387</v>
      </c>
      <c r="D80">
        <f t="shared" si="4"/>
        <v>3.8402457757296463E-2</v>
      </c>
      <c r="E80">
        <f t="shared" si="5"/>
        <v>3.8371866694243369E-2</v>
      </c>
      <c r="F80">
        <f t="shared" si="6"/>
        <v>3.828053028419804E-2</v>
      </c>
      <c r="G80">
        <f t="shared" si="7"/>
        <v>3.7658931248803734E-2</v>
      </c>
      <c r="H80">
        <f t="shared" si="8"/>
        <v>3.6984312362749835E-2</v>
      </c>
      <c r="I80">
        <f t="shared" si="9"/>
        <v>3.5663338088445073E-2</v>
      </c>
      <c r="J80">
        <f t="shared" si="36"/>
        <v>3.1415000000000002</v>
      </c>
      <c r="K80">
        <f t="shared" si="37"/>
        <v>3.1015826588063309</v>
      </c>
      <c r="L80">
        <f t="shared" si="38"/>
        <v>3.061792121863931</v>
      </c>
      <c r="M80">
        <f t="shared" si="39"/>
        <v>2.9443998611164144</v>
      </c>
      <c r="N80">
        <f t="shared" si="40"/>
        <v>2.868890180019378</v>
      </c>
      <c r="O80">
        <f t="shared" si="41"/>
        <v>2.7615234241625686</v>
      </c>
      <c r="Y80">
        <v>0.35</v>
      </c>
      <c r="Z80">
        <f t="shared" si="42"/>
        <v>-0.10835768451238977</v>
      </c>
      <c r="AA80">
        <f t="shared" si="43"/>
        <v>6.9014995610534743E-2</v>
      </c>
    </row>
    <row r="81" spans="1:27" x14ac:dyDescent="0.2">
      <c r="A81">
        <v>5.3</v>
      </c>
      <c r="B81">
        <f t="shared" si="3"/>
        <v>3.5051546908548503E-2</v>
      </c>
      <c r="C81">
        <f t="shared" si="35"/>
        <v>2.8224901020282589</v>
      </c>
      <c r="D81">
        <f t="shared" si="4"/>
        <v>3.6913990402362498E-2</v>
      </c>
      <c r="E81">
        <f t="shared" si="5"/>
        <v>3.6885763945312171E-2</v>
      </c>
      <c r="F81">
        <f t="shared" si="6"/>
        <v>3.6801471499455236E-2</v>
      </c>
      <c r="G81">
        <f t="shared" si="7"/>
        <v>3.6227173823372191E-2</v>
      </c>
      <c r="H81">
        <f t="shared" si="8"/>
        <v>3.5602646188115976E-2</v>
      </c>
      <c r="I81">
        <f t="shared" si="9"/>
        <v>3.4376074252320386E-2</v>
      </c>
      <c r="J81">
        <f t="shared" si="36"/>
        <v>3.1415000000000002</v>
      </c>
      <c r="K81">
        <f t="shared" si="37"/>
        <v>3.1023911214468454</v>
      </c>
      <c r="L81">
        <f t="shared" si="38"/>
        <v>3.0634015126527459</v>
      </c>
      <c r="M81">
        <f t="shared" si="39"/>
        <v>2.948296245083128</v>
      </c>
      <c r="N81">
        <f t="shared" si="40"/>
        <v>2.8741550551093376</v>
      </c>
      <c r="O81">
        <f t="shared" si="41"/>
        <v>2.7685261966655665</v>
      </c>
      <c r="Y81">
        <v>0.35499999999999998</v>
      </c>
      <c r="Z81">
        <f t="shared" si="42"/>
        <v>-0.10265232116951352</v>
      </c>
      <c r="AA81">
        <f t="shared" si="43"/>
        <v>7.8137085408840123E-2</v>
      </c>
    </row>
    <row r="82" spans="1:27" x14ac:dyDescent="0.2">
      <c r="A82">
        <v>5.4</v>
      </c>
      <c r="B82">
        <f t="shared" si="3"/>
        <v>3.3785048299514515E-2</v>
      </c>
      <c r="C82">
        <f t="shared" si="35"/>
        <v>2.8284118389657475</v>
      </c>
      <c r="D82">
        <f t="shared" si="4"/>
        <v>3.5511363636363633E-2</v>
      </c>
      <c r="E82">
        <f t="shared" si="5"/>
        <v>3.5485275636423029E-2</v>
      </c>
      <c r="F82">
        <f t="shared" si="6"/>
        <v>3.5407355264816205E-2</v>
      </c>
      <c r="G82">
        <f t="shared" si="7"/>
        <v>3.4875916690205629E-2</v>
      </c>
      <c r="H82">
        <f t="shared" si="8"/>
        <v>3.4296908831874168E-2</v>
      </c>
      <c r="I82">
        <f t="shared" si="9"/>
        <v>3.3156498673740049E-2</v>
      </c>
      <c r="J82">
        <f t="shared" si="36"/>
        <v>3.1415000000000002</v>
      </c>
      <c r="K82">
        <f t="shared" si="37"/>
        <v>3.1031665147735352</v>
      </c>
      <c r="L82">
        <f t="shared" si="38"/>
        <v>3.0649453583466175</v>
      </c>
      <c r="M82">
        <f t="shared" si="39"/>
        <v>2.9520386101831124</v>
      </c>
      <c r="N82">
        <f t="shared" si="40"/>
        <v>2.8792185713009726</v>
      </c>
      <c r="O82">
        <f t="shared" si="41"/>
        <v>2.7752783654750321</v>
      </c>
      <c r="Y82">
        <v>0.36</v>
      </c>
      <c r="Z82">
        <f t="shared" si="42"/>
        <v>-9.6690380484008881E-2</v>
      </c>
      <c r="AA82">
        <f t="shared" si="43"/>
        <v>8.7063873186630822E-2</v>
      </c>
    </row>
    <row r="83" spans="1:27" x14ac:dyDescent="0.2">
      <c r="A83">
        <v>5.5</v>
      </c>
      <c r="B83">
        <f t="shared" si="3"/>
        <v>3.2585601934692121E-2</v>
      </c>
      <c r="C83">
        <f t="shared" si="35"/>
        <v>2.8341176949914133</v>
      </c>
      <c r="D83">
        <f t="shared" si="4"/>
        <v>3.4188034188034191E-2</v>
      </c>
      <c r="E83">
        <f t="shared" si="5"/>
        <v>3.416388417313012E-2</v>
      </c>
      <c r="F83">
        <f t="shared" si="6"/>
        <v>3.4091740043176035E-2</v>
      </c>
      <c r="G83">
        <f t="shared" si="7"/>
        <v>3.3599212443690372E-2</v>
      </c>
      <c r="H83">
        <f t="shared" si="8"/>
        <v>3.3061645157498695E-2</v>
      </c>
      <c r="I83">
        <f t="shared" si="9"/>
        <v>3.2000000000000001E-2</v>
      </c>
      <c r="J83">
        <f t="shared" si="36"/>
        <v>3.1415000000000002</v>
      </c>
      <c r="K83">
        <f t="shared" si="37"/>
        <v>3.1039108761581438</v>
      </c>
      <c r="L83">
        <f t="shared" si="38"/>
        <v>3.0664276756648601</v>
      </c>
      <c r="M83">
        <f t="shared" si="39"/>
        <v>2.9556360541780675</v>
      </c>
      <c r="N83">
        <f t="shared" si="40"/>
        <v>2.884092145357255</v>
      </c>
      <c r="O83">
        <f t="shared" si="41"/>
        <v>2.7817930004150435</v>
      </c>
      <c r="Y83">
        <v>0.36499999999999999</v>
      </c>
      <c r="Z83">
        <f t="shared" si="42"/>
        <v>-9.0486764202670947E-2</v>
      </c>
      <c r="AA83">
        <f t="shared" si="43"/>
        <v>9.5773046623443658E-2</v>
      </c>
    </row>
    <row r="84" spans="1:27" x14ac:dyDescent="0.2">
      <c r="A84">
        <v>5.6</v>
      </c>
      <c r="B84">
        <f t="shared" si="3"/>
        <v>3.1448583728580649E-2</v>
      </c>
      <c r="C84">
        <f t="shared" si="35"/>
        <v>2.8396192560291156</v>
      </c>
      <c r="D84">
        <f t="shared" si="4"/>
        <v>3.2938076416337288E-2</v>
      </c>
      <c r="E84">
        <f t="shared" si="5"/>
        <v>3.2915686228123117E-2</v>
      </c>
      <c r="F84">
        <f t="shared" si="6"/>
        <v>3.2848788635679929E-2</v>
      </c>
      <c r="G84">
        <f t="shared" si="7"/>
        <v>3.2391654741700963E-2</v>
      </c>
      <c r="H84">
        <f t="shared" si="8"/>
        <v>3.1891880285020061E-2</v>
      </c>
      <c r="I84">
        <f t="shared" si="9"/>
        <v>3.0902348578491973E-2</v>
      </c>
      <c r="J84">
        <f t="shared" si="36"/>
        <v>3.1415000000000002</v>
      </c>
      <c r="K84">
        <f t="shared" si="37"/>
        <v>3.104626075831086</v>
      </c>
      <c r="L84">
        <f t="shared" si="38"/>
        <v>3.0678521537922134</v>
      </c>
      <c r="M84">
        <f t="shared" si="39"/>
        <v>2.9590969634903699</v>
      </c>
      <c r="N84">
        <f t="shared" si="40"/>
        <v>2.888786342623896</v>
      </c>
      <c r="O84">
        <f t="shared" si="41"/>
        <v>2.7880822878599267</v>
      </c>
      <c r="Y84">
        <v>0.37</v>
      </c>
      <c r="Z84">
        <f t="shared" si="42"/>
        <v>-8.4056978135422053E-2</v>
      </c>
      <c r="AA84">
        <f t="shared" si="43"/>
        <v>0.10424283732133638</v>
      </c>
    </row>
    <row r="85" spans="1:27" x14ac:dyDescent="0.2">
      <c r="A85">
        <v>5.7</v>
      </c>
      <c r="B85">
        <f t="shared" si="3"/>
        <v>3.0369759008117579E-2</v>
      </c>
      <c r="C85">
        <f t="shared" si="35"/>
        <v>2.8449272948273934</v>
      </c>
      <c r="D85">
        <f t="shared" si="4"/>
        <v>3.1756113051762465E-2</v>
      </c>
      <c r="E85">
        <f t="shared" si="5"/>
        <v>3.1735323980056039E-2</v>
      </c>
      <c r="F85">
        <f t="shared" si="6"/>
        <v>3.1673200884154255E-2</v>
      </c>
      <c r="G85">
        <f t="shared" si="7"/>
        <v>3.1248320142786098E-2</v>
      </c>
      <c r="H85">
        <f t="shared" si="8"/>
        <v>3.078306986813216E-2</v>
      </c>
      <c r="I85">
        <f t="shared" si="9"/>
        <v>2.9859659599880559E-2</v>
      </c>
      <c r="J85">
        <f t="shared" si="36"/>
        <v>3.1415000000000002</v>
      </c>
      <c r="K85">
        <f t="shared" si="37"/>
        <v>3.105313833919233</v>
      </c>
      <c r="L85">
        <f t="shared" si="38"/>
        <v>3.0692221875479659</v>
      </c>
      <c r="M85">
        <f t="shared" si="39"/>
        <v>2.9624290820092476</v>
      </c>
      <c r="N85">
        <f t="shared" si="40"/>
        <v>2.8933109551893468</v>
      </c>
      <c r="O85">
        <f t="shared" si="41"/>
        <v>2.7941576033168527</v>
      </c>
      <c r="Y85">
        <v>0.375</v>
      </c>
      <c r="Z85">
        <f t="shared" si="42"/>
        <v>-7.7417093398862685E-2</v>
      </c>
      <c r="AA85">
        <f t="shared" si="43"/>
        <v>0.11245207521454588</v>
      </c>
    </row>
    <row r="86" spans="1:27" x14ac:dyDescent="0.2">
      <c r="A86">
        <v>5.8</v>
      </c>
      <c r="B86">
        <f t="shared" si="3"/>
        <v>2.9345244072918292E-2</v>
      </c>
      <c r="C86">
        <f t="shared" si="35"/>
        <v>2.8500518408897086</v>
      </c>
      <c r="D86">
        <f t="shared" si="4"/>
        <v>3.0637254901960783E-2</v>
      </c>
      <c r="E86">
        <f t="shared" si="5"/>
        <v>3.0617925234913797E-2</v>
      </c>
      <c r="F86">
        <f t="shared" si="6"/>
        <v>3.0560155016363867E-2</v>
      </c>
      <c r="G86">
        <f t="shared" si="7"/>
        <v>3.0164717122998688E-2</v>
      </c>
      <c r="H86">
        <f t="shared" si="8"/>
        <v>2.9731056255244019E-2</v>
      </c>
      <c r="I86">
        <f t="shared" si="9"/>
        <v>2.8868360277136258E-2</v>
      </c>
      <c r="J86">
        <f t="shared" si="36"/>
        <v>3.1415000000000002</v>
      </c>
      <c r="K86">
        <f t="shared" si="37"/>
        <v>3.1059757354196069</v>
      </c>
      <c r="L86">
        <f t="shared" si="38"/>
        <v>3.0705409065644909</v>
      </c>
      <c r="M86">
        <f t="shared" si="39"/>
        <v>2.965639572012988</v>
      </c>
      <c r="N86">
        <f t="shared" si="40"/>
        <v>2.8976750715789898</v>
      </c>
      <c r="O86">
        <f t="shared" si="41"/>
        <v>2.8000295770494348</v>
      </c>
      <c r="Y86">
        <v>0.38</v>
      </c>
      <c r="Z86">
        <f t="shared" si="42"/>
        <v>-7.0583706246848996E-2</v>
      </c>
      <c r="AA86">
        <f t="shared" si="43"/>
        <v>0.12038024148362769</v>
      </c>
    </row>
    <row r="87" spans="1:27" x14ac:dyDescent="0.2">
      <c r="A87">
        <v>5.9</v>
      </c>
      <c r="B87">
        <f t="shared" si="3"/>
        <v>2.8371472078561822E-2</v>
      </c>
      <c r="C87">
        <f t="shared" si="35"/>
        <v>2.8550022433358233</v>
      </c>
      <c r="D87">
        <f t="shared" si="4"/>
        <v>2.9577048210588583E-2</v>
      </c>
      <c r="E87">
        <f t="shared" si="5"/>
        <v>2.9559051133543443E-2</v>
      </c>
      <c r="F87">
        <f t="shared" si="6"/>
        <v>2.9505256380789366E-2</v>
      </c>
      <c r="G87">
        <f t="shared" si="7"/>
        <v>2.9136741275837388E-2</v>
      </c>
      <c r="H87">
        <f t="shared" si="8"/>
        <v>2.8732029755234277E-2</v>
      </c>
      <c r="I87">
        <f t="shared" si="9"/>
        <v>2.7925160569673275E-2</v>
      </c>
      <c r="J87">
        <f t="shared" si="36"/>
        <v>3.1415000000000002</v>
      </c>
      <c r="K87">
        <f t="shared" si="37"/>
        <v>3.1066132433971219</v>
      </c>
      <c r="L87">
        <f t="shared" si="38"/>
        <v>3.0718112010282752</v>
      </c>
      <c r="M87">
        <f t="shared" si="39"/>
        <v>2.9687350682454801</v>
      </c>
      <c r="N87">
        <f t="shared" si="40"/>
        <v>2.9018871390339864</v>
      </c>
      <c r="O87">
        <f t="shared" si="41"/>
        <v>2.8057081534992512</v>
      </c>
      <c r="Y87">
        <v>0.38500000000000001</v>
      </c>
      <c r="Z87">
        <f t="shared" si="42"/>
        <v>-6.3573896588501808E-2</v>
      </c>
      <c r="AA87">
        <f t="shared" si="43"/>
        <v>0.12800751984181832</v>
      </c>
    </row>
    <row r="88" spans="1:27" x14ac:dyDescent="0.2">
      <c r="A88">
        <v>6</v>
      </c>
      <c r="B88">
        <f t="shared" si="3"/>
        <v>2.7445162700548368E-2</v>
      </c>
      <c r="C88">
        <f t="shared" si="35"/>
        <v>2.8597872275103113</v>
      </c>
      <c r="D88">
        <f t="shared" si="4"/>
        <v>2.8571428571428571E-2</v>
      </c>
      <c r="E88">
        <f t="shared" si="5"/>
        <v>2.8554650359284624E-2</v>
      </c>
      <c r="F88">
        <f t="shared" si="6"/>
        <v>2.8504492519525824E-2</v>
      </c>
      <c r="G88">
        <f t="shared" si="7"/>
        <v>2.8160635851807621E-2</v>
      </c>
      <c r="H88">
        <f t="shared" si="8"/>
        <v>2.7782494342300502E-2</v>
      </c>
      <c r="I88">
        <f t="shared" si="9"/>
        <v>2.7027027027027029E-2</v>
      </c>
      <c r="J88">
        <f t="shared" si="36"/>
        <v>3.1415000000000002</v>
      </c>
      <c r="K88">
        <f t="shared" si="37"/>
        <v>3.1072277106492008</v>
      </c>
      <c r="L88">
        <f t="shared" si="38"/>
        <v>3.0730357444501686</v>
      </c>
      <c r="M88">
        <f t="shared" si="39"/>
        <v>2.971721726031662</v>
      </c>
      <c r="N88">
        <f t="shared" si="40"/>
        <v>2.905955019279137</v>
      </c>
      <c r="O88">
        <f t="shared" si="41"/>
        <v>2.8112026451707464</v>
      </c>
      <c r="Y88">
        <v>0.39</v>
      </c>
      <c r="Z88">
        <f t="shared" si="42"/>
        <v>-5.640518529732854E-2</v>
      </c>
      <c r="AA88">
        <f t="shared" si="43"/>
        <v>0.13531484606543207</v>
      </c>
    </row>
    <row r="89" spans="1:27" x14ac:dyDescent="0.2">
      <c r="A89">
        <v>6.1</v>
      </c>
      <c r="B89">
        <f t="shared" si="3"/>
        <v>2.6563295111232815E-2</v>
      </c>
      <c r="C89">
        <f t="shared" si="35"/>
        <v>2.8644149460489334</v>
      </c>
      <c r="D89">
        <f t="shared" si="4"/>
        <v>2.761668047500691E-2</v>
      </c>
      <c r="E89">
        <f t="shared" si="5"/>
        <v>2.7601018932502417E-2</v>
      </c>
      <c r="F89">
        <f t="shared" si="6"/>
        <v>2.7554193694136149E-2</v>
      </c>
      <c r="G89">
        <f t="shared" si="7"/>
        <v>2.723295692147612E-2</v>
      </c>
      <c r="H89">
        <f t="shared" si="8"/>
        <v>2.6879237229919212E-2</v>
      </c>
      <c r="I89">
        <f t="shared" si="9"/>
        <v>2.6171159382360643E-2</v>
      </c>
      <c r="J89">
        <f t="shared" si="36"/>
        <v>3.1415000000000002</v>
      </c>
      <c r="K89">
        <f t="shared" si="37"/>
        <v>3.1078203900426726</v>
      </c>
      <c r="L89">
        <f t="shared" si="38"/>
        <v>3.0742170138601783</v>
      </c>
      <c r="M89">
        <f t="shared" si="39"/>
        <v>2.9746052641878702</v>
      </c>
      <c r="N89">
        <f t="shared" si="40"/>
        <v>2.9098860385603937</v>
      </c>
      <c r="O89">
        <f t="shared" si="41"/>
        <v>2.8165217815655934</v>
      </c>
      <c r="Y89">
        <v>0.39500000000000002</v>
      </c>
      <c r="Z89">
        <f t="shared" si="42"/>
        <v>-4.9095490418164731E-2</v>
      </c>
      <c r="AA89">
        <f t="shared" si="43"/>
        <v>0.14228395564449167</v>
      </c>
    </row>
    <row r="90" spans="1:27" x14ac:dyDescent="0.2">
      <c r="A90">
        <v>6.2</v>
      </c>
      <c r="B90">
        <f t="shared" si="3"/>
        <v>2.5723083865582943E-2</v>
      </c>
      <c r="C90">
        <f t="shared" si="35"/>
        <v>2.8688930250232163</v>
      </c>
      <c r="D90">
        <f t="shared" si="4"/>
        <v>2.6709401709401705E-2</v>
      </c>
      <c r="E90">
        <f t="shared" si="5"/>
        <v>2.6694764821494205E-2</v>
      </c>
      <c r="F90">
        <f t="shared" si="6"/>
        <v>2.6650998116692571E-2</v>
      </c>
      <c r="G90">
        <f t="shared" si="7"/>
        <v>2.6350542552242139E-2</v>
      </c>
      <c r="H90">
        <f t="shared" si="8"/>
        <v>2.6019301824615454E-2</v>
      </c>
      <c r="I90">
        <f t="shared" si="9"/>
        <v>2.5354969574036507E-2</v>
      </c>
      <c r="J90">
        <f t="shared" si="36"/>
        <v>3.1415000000000002</v>
      </c>
      <c r="K90">
        <f t="shared" si="37"/>
        <v>3.1083924436973245</v>
      </c>
      <c r="L90">
        <f t="shared" si="38"/>
        <v>3.0753573077628196</v>
      </c>
      <c r="M90">
        <f t="shared" si="39"/>
        <v>2.9773910033752067</v>
      </c>
      <c r="N90">
        <f t="shared" si="40"/>
        <v>2.9136870326276467</v>
      </c>
      <c r="O90">
        <f t="shared" si="41"/>
        <v>2.8216737536835614</v>
      </c>
      <c r="Y90">
        <v>0.4</v>
      </c>
      <c r="Z90">
        <f t="shared" si="42"/>
        <v>-4.1663082381392644E-2</v>
      </c>
      <c r="AA90">
        <f t="shared" si="43"/>
        <v>0.14889742943449172</v>
      </c>
    </row>
    <row r="91" spans="1:27" x14ac:dyDescent="0.2">
      <c r="A91">
        <v>6.3</v>
      </c>
      <c r="B91">
        <f t="shared" si="3"/>
        <v>2.4921957345796584E-2</v>
      </c>
      <c r="C91">
        <f t="shared" si="35"/>
        <v>2.8732286057058749</v>
      </c>
      <c r="D91">
        <f t="shared" si="4"/>
        <v>2.5846471956577927E-2</v>
      </c>
      <c r="E91">
        <f t="shared" si="5"/>
        <v>2.5832776717440369E-2</v>
      </c>
      <c r="F91">
        <f t="shared" si="6"/>
        <v>2.5791821252235284E-2</v>
      </c>
      <c r="G91">
        <f t="shared" si="7"/>
        <v>2.5510485478130014E-2</v>
      </c>
      <c r="H91">
        <f t="shared" si="8"/>
        <v>2.51999636384947E-2</v>
      </c>
      <c r="I91">
        <f t="shared" si="9"/>
        <v>2.4576062914721062E-2</v>
      </c>
      <c r="J91">
        <f t="shared" si="36"/>
        <v>3.1415000000000002</v>
      </c>
      <c r="K91">
        <f t="shared" si="37"/>
        <v>3.1089449511646401</v>
      </c>
      <c r="L91">
        <f t="shared" si="38"/>
        <v>3.076458762139596</v>
      </c>
      <c r="M91">
        <f t="shared" si="39"/>
        <v>2.9800839004531614</v>
      </c>
      <c r="N91">
        <f t="shared" si="40"/>
        <v>2.9173643872489343</v>
      </c>
      <c r="O91">
        <f t="shared" si="41"/>
        <v>2.8266662545468186</v>
      </c>
      <c r="Y91">
        <v>0.40500000000000003</v>
      </c>
      <c r="Z91">
        <f t="shared" si="42"/>
        <v>-3.412653833638081E-2</v>
      </c>
      <c r="AA91">
        <f t="shared" si="43"/>
        <v>0.15513873719518786</v>
      </c>
    </row>
    <row r="92" spans="1:27" x14ac:dyDescent="0.2">
      <c r="A92">
        <v>6.4</v>
      </c>
      <c r="B92">
        <f t="shared" si="3"/>
        <v>2.4157538461117588E-2</v>
      </c>
      <c r="C92">
        <f t="shared" si="35"/>
        <v>2.8774283824327225</v>
      </c>
      <c r="D92">
        <f t="shared" si="4"/>
        <v>2.502502502502502E-2</v>
      </c>
      <c r="E92">
        <f t="shared" si="5"/>
        <v>2.501219641935664E-2</v>
      </c>
      <c r="F92">
        <f t="shared" si="6"/>
        <v>2.4973828653799383E-2</v>
      </c>
      <c r="G92">
        <f t="shared" si="7"/>
        <v>2.4710108816756622E-2</v>
      </c>
      <c r="H92">
        <f t="shared" si="8"/>
        <v>2.4418708797375996E-2</v>
      </c>
      <c r="I92">
        <f t="shared" si="9"/>
        <v>2.3832221163012389E-2</v>
      </c>
      <c r="J92">
        <f t="shared" si="36"/>
        <v>3.1415000000000002</v>
      </c>
      <c r="K92">
        <f t="shared" si="37"/>
        <v>3.1094789167286776</v>
      </c>
      <c r="L92">
        <f t="shared" si="38"/>
        <v>3.0775233647437923</v>
      </c>
      <c r="M92">
        <f t="shared" si="39"/>
        <v>2.9826885793139897</v>
      </c>
      <c r="N92">
        <f t="shared" si="40"/>
        <v>2.920924074765896</v>
      </c>
      <c r="O92">
        <f t="shared" si="41"/>
        <v>2.8315065161521185</v>
      </c>
      <c r="Y92">
        <v>0.41</v>
      </c>
      <c r="Z92">
        <f t="shared" si="42"/>
        <v>-2.6504695718285884E-2</v>
      </c>
      <c r="AA92">
        <f t="shared" si="43"/>
        <v>0.1609922789075883</v>
      </c>
    </row>
    <row r="93" spans="1:27" x14ac:dyDescent="0.2">
      <c r="A93">
        <v>6.5</v>
      </c>
      <c r="B93">
        <f t="shared" ref="B93:B117" si="44">1/SQRT((1-A93^2)^2+4*$C$6^2*A93^2)</f>
        <v>2.3427627338845423E-2</v>
      </c>
      <c r="C93">
        <f t="shared" si="35"/>
        <v>2.8814986369788023</v>
      </c>
      <c r="D93">
        <f t="shared" si="4"/>
        <v>2.4242424242424242E-2</v>
      </c>
      <c r="E93">
        <f t="shared" si="5"/>
        <v>2.4230394357029787E-2</v>
      </c>
      <c r="F93">
        <f t="shared" si="6"/>
        <v>2.4194411870475833E-2</v>
      </c>
      <c r="G93">
        <f t="shared" si="7"/>
        <v>2.3946944450704822E-2</v>
      </c>
      <c r="H93">
        <f t="shared" si="8"/>
        <v>2.3673214830581244E-2</v>
      </c>
      <c r="I93">
        <f t="shared" si="9"/>
        <v>2.3121387283236993E-2</v>
      </c>
      <c r="J93">
        <f t="shared" si="36"/>
        <v>3.1415000000000002</v>
      </c>
      <c r="K93">
        <f t="shared" si="37"/>
        <v>3.1099952759379192</v>
      </c>
      <c r="L93">
        <f t="shared" si="38"/>
        <v>3.0785529678980246</v>
      </c>
      <c r="M93">
        <f t="shared" si="39"/>
        <v>2.9852093586132886</v>
      </c>
      <c r="N93">
        <f t="shared" si="40"/>
        <v>2.924371687134891</v>
      </c>
      <c r="O93">
        <f t="shared" si="41"/>
        <v>2.8362013432094697</v>
      </c>
      <c r="Y93">
        <v>0.41499999999999998</v>
      </c>
      <c r="Z93">
        <f t="shared" si="42"/>
        <v>-1.8816605164273803E-2</v>
      </c>
      <c r="AA93">
        <f t="shared" si="43"/>
        <v>0.16644342376587795</v>
      </c>
    </row>
    <row r="94" spans="1:27" x14ac:dyDescent="0.2">
      <c r="A94">
        <v>6.6</v>
      </c>
      <c r="B94">
        <f t="shared" si="44"/>
        <v>2.2730185776562148E-2</v>
      </c>
      <c r="C94">
        <f t="shared" si="35"/>
        <v>2.8854452698163846</v>
      </c>
      <c r="D94">
        <f t="shared" ref="D94:D117" si="45">1/SQRT((1-A94^2)^2+4*$D$6^2*A94^2)</f>
        <v>2.3496240601503762E-2</v>
      </c>
      <c r="E94">
        <f t="shared" ref="E94:E117" si="46">1/SQRT((1-A94^2)^2+4*$E$6^2*A94^2)</f>
        <v>2.3484947848600665E-2</v>
      </c>
      <c r="F94">
        <f t="shared" ref="F94:F117" si="47">1/SQRT((1-A94^2)^2+4*$F$6^2*A94^2)</f>
        <v>2.3451167035467152E-2</v>
      </c>
      <c r="G94">
        <f t="shared" ref="G94:G117" si="48">1/SQRT((1-A94^2)^2+4*$G$6^2*A94^2)</f>
        <v>2.3218713743843544E-2</v>
      </c>
      <c r="H94">
        <f t="shared" ref="H94:H117" si="49">1/SQRT((1-A94^2)^2+4*$H$6^2*A94^2)</f>
        <v>2.2961333470380062E-2</v>
      </c>
      <c r="I94">
        <f t="shared" ref="I94:I117" si="50">1/SQRT((1-A94^2)^2+4*$I$6^2*A94^2)</f>
        <v>2.2441651705565533E-2</v>
      </c>
      <c r="J94">
        <f t="shared" si="36"/>
        <v>3.1415000000000002</v>
      </c>
      <c r="K94">
        <f t="shared" si="37"/>
        <v>3.1104949014616969</v>
      </c>
      <c r="L94">
        <f t="shared" si="38"/>
        <v>3.0795492999757021</v>
      </c>
      <c r="M94">
        <f t="shared" si="39"/>
        <v>2.9876502767569288</v>
      </c>
      <c r="N94">
        <f t="shared" si="40"/>
        <v>2.9277124658421143</v>
      </c>
      <c r="O94">
        <f t="shared" si="41"/>
        <v>2.8407571439857309</v>
      </c>
      <c r="Y94">
        <v>0.42</v>
      </c>
      <c r="Z94">
        <f t="shared" si="42"/>
        <v>-1.1081482896849435E-2</v>
      </c>
      <c r="AA94">
        <f t="shared" si="43"/>
        <v>0.17147854674681243</v>
      </c>
    </row>
    <row r="95" spans="1:27" x14ac:dyDescent="0.2">
      <c r="A95">
        <v>6.7</v>
      </c>
      <c r="B95">
        <f t="shared" si="44"/>
        <v>2.2063323254862831E-2</v>
      </c>
      <c r="C95">
        <f t="shared" ref="C95:C117" si="51">ATAN(2*$C$6*A95/(1-A95^2))+3.1415</f>
        <v>2.8892738285789621</v>
      </c>
      <c r="D95">
        <f t="shared" si="45"/>
        <v>2.2784233310549101E-2</v>
      </c>
      <c r="E95">
        <f t="shared" si="46"/>
        <v>2.2773621747162215E-2</v>
      </c>
      <c r="F95">
        <f t="shared" si="47"/>
        <v>2.2741875797026582E-2</v>
      </c>
      <c r="G95">
        <f t="shared" si="48"/>
        <v>2.2523310308317685E-2</v>
      </c>
      <c r="H95">
        <f t="shared" si="49"/>
        <v>2.2281075224923251E-2</v>
      </c>
      <c r="I95">
        <f t="shared" si="50"/>
        <v>2.1791239921551537E-2</v>
      </c>
      <c r="J95">
        <f t="shared" si="36"/>
        <v>3.1415000000000002</v>
      </c>
      <c r="K95">
        <f t="shared" si="37"/>
        <v>3.1109786083519135</v>
      </c>
      <c r="L95">
        <f t="shared" si="38"/>
        <v>3.0805139757227988</v>
      </c>
      <c r="M95">
        <f t="shared" si="39"/>
        <v>2.9900151144573757</v>
      </c>
      <c r="N95">
        <f t="shared" si="40"/>
        <v>2.9309513290327627</v>
      </c>
      <c r="O95">
        <f t="shared" si="41"/>
        <v>2.8451799585363373</v>
      </c>
      <c r="Y95">
        <v>0.42499999999999999</v>
      </c>
      <c r="Z95">
        <f t="shared" si="42"/>
        <v>-3.31866269330781E-3</v>
      </c>
      <c r="AA95">
        <f t="shared" si="43"/>
        <v>0.17608506266518054</v>
      </c>
    </row>
    <row r="96" spans="1:27" x14ac:dyDescent="0.2">
      <c r="A96">
        <v>6.8</v>
      </c>
      <c r="B96">
        <f t="shared" si="44"/>
        <v>2.1425284335087433E-2</v>
      </c>
      <c r="C96">
        <f t="shared" si="51"/>
        <v>2.8929895340175795</v>
      </c>
      <c r="D96">
        <f t="shared" si="45"/>
        <v>2.2104332449160036E-2</v>
      </c>
      <c r="E96">
        <f t="shared" si="46"/>
        <v>2.2094351179369823E-2</v>
      </c>
      <c r="F96">
        <f t="shared" si="47"/>
        <v>2.206448830235495E-2</v>
      </c>
      <c r="G96">
        <f t="shared" si="48"/>
        <v>2.1858784576326323E-2</v>
      </c>
      <c r="H96">
        <f t="shared" si="49"/>
        <v>2.1630595519179868E-2</v>
      </c>
      <c r="I96">
        <f t="shared" si="50"/>
        <v>2.1168501270110079E-2</v>
      </c>
      <c r="J96">
        <f t="shared" si="36"/>
        <v>3.1415000000000002</v>
      </c>
      <c r="K96">
        <f t="shared" si="37"/>
        <v>3.1114471587798858</v>
      </c>
      <c r="L96">
        <f t="shared" si="38"/>
        <v>3.0814485055553171</v>
      </c>
      <c r="M96">
        <f t="shared" si="39"/>
        <v>2.9923074151321245</v>
      </c>
      <c r="N96">
        <f t="shared" si="40"/>
        <v>2.9340928961526815</v>
      </c>
      <c r="O96">
        <f t="shared" si="41"/>
        <v>2.8494754845774493</v>
      </c>
      <c r="Y96">
        <v>0.43</v>
      </c>
      <c r="Z96">
        <f t="shared" si="42"/>
        <v>4.4524524386409638E-3</v>
      </c>
      <c r="AA96">
        <f t="shared" si="43"/>
        <v>0.18025145763021361</v>
      </c>
    </row>
    <row r="97" spans="1:27" x14ac:dyDescent="0.2">
      <c r="A97">
        <v>6.9</v>
      </c>
      <c r="B97">
        <f t="shared" si="44"/>
        <v>2.081443728831844E-2</v>
      </c>
      <c r="C97">
        <f t="shared" si="51"/>
        <v>2.8965973037028832</v>
      </c>
      <c r="D97">
        <f t="shared" si="45"/>
        <v>2.1454623471358073E-2</v>
      </c>
      <c r="E97">
        <f t="shared" si="46"/>
        <v>2.1445226120171947E-2</v>
      </c>
      <c r="F97">
        <f t="shared" si="47"/>
        <v>2.1417107984458759E-2</v>
      </c>
      <c r="G97">
        <f t="shared" si="48"/>
        <v>2.1223329963523108E-2</v>
      </c>
      <c r="H97">
        <f t="shared" si="49"/>
        <v>2.1008182224724142E-2</v>
      </c>
      <c r="I97">
        <f t="shared" si="50"/>
        <v>2.057189878625797E-2</v>
      </c>
      <c r="J97">
        <f t="shared" si="36"/>
        <v>3.1415000000000002</v>
      </c>
      <c r="K97">
        <f t="shared" si="37"/>
        <v>3.1119012663088612</v>
      </c>
      <c r="L97">
        <f t="shared" si="38"/>
        <v>3.0823543039499883</v>
      </c>
      <c r="M97">
        <f t="shared" si="39"/>
        <v>2.994530503382463</v>
      </c>
      <c r="N97">
        <f t="shared" si="40"/>
        <v>2.9371415103649245</v>
      </c>
      <c r="O97">
        <f t="shared" si="41"/>
        <v>2.8536491012235676</v>
      </c>
      <c r="Y97">
        <v>0.435</v>
      </c>
      <c r="Z97">
        <f t="shared" si="42"/>
        <v>1.2212438758285539E-2</v>
      </c>
      <c r="AA97">
        <f t="shared" si="43"/>
        <v>0.18396731782431561</v>
      </c>
    </row>
    <row r="98" spans="1:27" x14ac:dyDescent="0.2">
      <c r="A98">
        <v>7</v>
      </c>
      <c r="B98">
        <f t="shared" si="44"/>
        <v>2.0229263820735515E-2</v>
      </c>
      <c r="C98">
        <f t="shared" si="51"/>
        <v>2.9001017736975303</v>
      </c>
      <c r="D98">
        <f t="shared" si="45"/>
        <v>2.0833333333333332E-2</v>
      </c>
      <c r="E98">
        <f t="shared" si="46"/>
        <v>2.0824477582623444E-2</v>
      </c>
      <c r="F98">
        <f t="shared" si="47"/>
        <v>2.0797977935859528E-2</v>
      </c>
      <c r="G98">
        <f t="shared" si="48"/>
        <v>2.0615270438818365E-2</v>
      </c>
      <c r="H98">
        <f t="shared" si="49"/>
        <v>2.0412244421865056E-2</v>
      </c>
      <c r="I98">
        <f t="shared" si="50"/>
        <v>0.02</v>
      </c>
      <c r="J98">
        <f t="shared" si="36"/>
        <v>3.1415000000000002</v>
      </c>
      <c r="K98">
        <f t="shared" si="37"/>
        <v>3.1123415997548562</v>
      </c>
      <c r="L98">
        <f t="shared" si="38"/>
        <v>3.0832326970304669</v>
      </c>
      <c r="M98">
        <f t="shared" si="39"/>
        <v>2.9966875017610612</v>
      </c>
      <c r="N98">
        <f t="shared" si="40"/>
        <v>2.9401012589724798</v>
      </c>
      <c r="O98">
        <f t="shared" si="41"/>
        <v>2.8577058907916721</v>
      </c>
      <c r="Y98">
        <v>0.44</v>
      </c>
      <c r="Z98">
        <f t="shared" si="42"/>
        <v>1.9941900341149697E-2</v>
      </c>
      <c r="AA98">
        <f t="shared" si="43"/>
        <v>0.18722335553218389</v>
      </c>
    </row>
    <row r="99" spans="1:27" x14ac:dyDescent="0.2">
      <c r="A99">
        <v>7.1</v>
      </c>
      <c r="B99">
        <f t="shared" si="44"/>
        <v>1.9668349776733502E-2</v>
      </c>
      <c r="C99">
        <f t="shared" si="51"/>
        <v>2.903507318398431</v>
      </c>
      <c r="D99">
        <f t="shared" si="45"/>
        <v>2.0238818053025704E-2</v>
      </c>
      <c r="E99">
        <f t="shared" si="46"/>
        <v>2.0230465231378534E-2</v>
      </c>
      <c r="F99">
        <f t="shared" si="47"/>
        <v>2.0205468681882173E-2</v>
      </c>
      <c r="G99">
        <f t="shared" si="48"/>
        <v>2.0033049339291994E-2</v>
      </c>
      <c r="H99">
        <f t="shared" si="49"/>
        <v>1.9841302257130114E-2</v>
      </c>
      <c r="I99">
        <f t="shared" si="50"/>
        <v>1.9451468585878234E-2</v>
      </c>
      <c r="J99">
        <f t="shared" si="36"/>
        <v>3.1415000000000002</v>
      </c>
      <c r="K99">
        <f t="shared" si="37"/>
        <v>3.112768786681722</v>
      </c>
      <c r="L99">
        <f t="shared" si="38"/>
        <v>3.0840849294382595</v>
      </c>
      <c r="M99">
        <f t="shared" si="39"/>
        <v>2.9987813460113348</v>
      </c>
      <c r="N99">
        <f t="shared" si="40"/>
        <v>2.9429759920513408</v>
      </c>
      <c r="O99">
        <f t="shared" si="41"/>
        <v>2.8616506588517647</v>
      </c>
      <c r="Y99">
        <v>0.44500000000000001</v>
      </c>
      <c r="Z99">
        <f t="shared" si="42"/>
        <v>2.7621517558701774E-2</v>
      </c>
      <c r="AA99">
        <f t="shared" si="43"/>
        <v>0.19001143235526036</v>
      </c>
    </row>
    <row r="100" spans="1:27" x14ac:dyDescent="0.2">
      <c r="A100">
        <v>7.2</v>
      </c>
      <c r="B100">
        <f t="shared" si="44"/>
        <v>1.913037671537559E-2</v>
      </c>
      <c r="C100">
        <f t="shared" si="51"/>
        <v>2.9068180687262881</v>
      </c>
      <c r="D100">
        <f t="shared" si="45"/>
        <v>1.9669551534225019E-2</v>
      </c>
      <c r="E100">
        <f t="shared" si="46"/>
        <v>1.9661666253726541E-2</v>
      </c>
      <c r="F100">
        <f t="shared" si="47"/>
        <v>1.9638067190858487E-2</v>
      </c>
      <c r="G100">
        <f t="shared" si="48"/>
        <v>1.9475219289467521E-2</v>
      </c>
      <c r="H100">
        <f t="shared" si="49"/>
        <v>1.9293977775974074E-2</v>
      </c>
      <c r="I100">
        <f t="shared" si="50"/>
        <v>1.8925056775170323E-2</v>
      </c>
      <c r="J100">
        <f t="shared" si="36"/>
        <v>3.1415000000000002</v>
      </c>
      <c r="K100">
        <f t="shared" si="37"/>
        <v>3.1131834165705339</v>
      </c>
      <c r="L100">
        <f t="shared" si="38"/>
        <v>3.0849121705664211</v>
      </c>
      <c r="M100">
        <f t="shared" si="39"/>
        <v>3.0008147989394272</v>
      </c>
      <c r="N100">
        <f t="shared" si="40"/>
        <v>2.9457693394745332</v>
      </c>
      <c r="O100">
        <f t="shared" si="41"/>
        <v>2.8654879526849615</v>
      </c>
      <c r="Y100">
        <v>0.45</v>
      </c>
      <c r="Z100">
        <f t="shared" si="42"/>
        <v>3.5232095367365358E-2</v>
      </c>
      <c r="AA100">
        <f t="shared" si="43"/>
        <v>0.19232457955348969</v>
      </c>
    </row>
    <row r="101" spans="1:27" x14ac:dyDescent="0.2">
      <c r="A101">
        <v>7.3</v>
      </c>
      <c r="B101">
        <f t="shared" si="44"/>
        <v>1.8614114268073446E-2</v>
      </c>
      <c r="C101">
        <f t="shared" si="51"/>
        <v>2.9100379288205214</v>
      </c>
      <c r="D101">
        <f t="shared" si="45"/>
        <v>1.9124115509657678E-2</v>
      </c>
      <c r="E101">
        <f t="shared" si="46"/>
        <v>1.9116665343630712E-2</v>
      </c>
      <c r="F101">
        <f t="shared" si="47"/>
        <v>1.9094366979634469E-2</v>
      </c>
      <c r="G101">
        <f t="shared" si="48"/>
        <v>1.8940433101869211E-2</v>
      </c>
      <c r="H101">
        <f t="shared" si="49"/>
        <v>1.8768986625173352E-2</v>
      </c>
      <c r="I101">
        <f t="shared" si="50"/>
        <v>1.8419598452753729E-2</v>
      </c>
      <c r="J101">
        <f t="shared" si="36"/>
        <v>3.1415000000000002</v>
      </c>
      <c r="K101">
        <f t="shared" si="37"/>
        <v>3.1135860436984464</v>
      </c>
      <c r="L101">
        <f t="shared" si="38"/>
        <v>3.0857155202244044</v>
      </c>
      <c r="M101">
        <f t="shared" si="39"/>
        <v>3.0027904630605224</v>
      </c>
      <c r="N101">
        <f t="shared" si="40"/>
        <v>2.9484847264871581</v>
      </c>
      <c r="O101">
        <f t="shared" si="41"/>
        <v>2.8692220782937188</v>
      </c>
      <c r="Y101">
        <v>0.45500000000000002</v>
      </c>
      <c r="Z101">
        <f t="shared" si="42"/>
        <v>4.2754611286131103E-2</v>
      </c>
      <c r="AA101">
        <f t="shared" si="43"/>
        <v>0.19415701546354014</v>
      </c>
    </row>
    <row r="102" spans="1:27" x14ac:dyDescent="0.2">
      <c r="A102">
        <v>7.4</v>
      </c>
      <c r="B102">
        <f t="shared" si="44"/>
        <v>1.8118413196121095E-2</v>
      </c>
      <c r="C102">
        <f t="shared" si="51"/>
        <v>2.9131705913806809</v>
      </c>
      <c r="D102">
        <f t="shared" si="45"/>
        <v>1.8601190476190476E-2</v>
      </c>
      <c r="E102">
        <f t="shared" si="46"/>
        <v>1.8594145672739915E-2</v>
      </c>
      <c r="F102">
        <f t="shared" si="47"/>
        <v>1.8573059190827048E-2</v>
      </c>
      <c r="G102">
        <f t="shared" si="48"/>
        <v>1.8427435551022858E-2</v>
      </c>
      <c r="H102">
        <f t="shared" si="49"/>
        <v>1.8265130532019759E-2</v>
      </c>
      <c r="I102">
        <f t="shared" si="50"/>
        <v>1.7934002869440458E-2</v>
      </c>
      <c r="J102">
        <f t="shared" si="36"/>
        <v>3.1415000000000002</v>
      </c>
      <c r="K102">
        <f t="shared" si="37"/>
        <v>3.1139771897578385</v>
      </c>
      <c r="L102">
        <f t="shared" si="38"/>
        <v>3.0864960137941666</v>
      </c>
      <c r="M102">
        <f t="shared" si="39"/>
        <v>3.0047107921446097</v>
      </c>
      <c r="N102">
        <f t="shared" si="40"/>
        <v>2.951125387974562</v>
      </c>
      <c r="O102">
        <f t="shared" si="41"/>
        <v>2.872857116094063</v>
      </c>
      <c r="Y102">
        <v>0.46</v>
      </c>
      <c r="Z102">
        <f t="shared" si="42"/>
        <v>5.0170262942852775E-2</v>
      </c>
      <c r="AA102">
        <f t="shared" si="43"/>
        <v>0.19550415994995071</v>
      </c>
    </row>
    <row r="103" spans="1:27" x14ac:dyDescent="0.2">
      <c r="A103">
        <v>7.5</v>
      </c>
      <c r="B103">
        <f t="shared" si="44"/>
        <v>1.7642199076079081E-2</v>
      </c>
      <c r="C103">
        <f t="shared" si="51"/>
        <v>2.9162195517804532</v>
      </c>
      <c r="D103">
        <f t="shared" si="45"/>
        <v>1.8099547511312219E-2</v>
      </c>
      <c r="E103">
        <f t="shared" si="46"/>
        <v>1.8092880738244853E-2</v>
      </c>
      <c r="F103">
        <f t="shared" si="47"/>
        <v>1.8072924533800563E-2</v>
      </c>
      <c r="G103">
        <f t="shared" si="48"/>
        <v>1.7935055926229466E-2</v>
      </c>
      <c r="H103">
        <f t="shared" si="49"/>
        <v>1.7781290478420194E-2</v>
      </c>
      <c r="I103">
        <f t="shared" si="50"/>
        <v>1.7467248908296942E-2</v>
      </c>
      <c r="J103">
        <f t="shared" si="36"/>
        <v>3.1415000000000002</v>
      </c>
      <c r="K103">
        <f t="shared" si="37"/>
        <v>3.1143573462428926</v>
      </c>
      <c r="L103">
        <f t="shared" si="38"/>
        <v>3.0872546269304153</v>
      </c>
      <c r="M103">
        <f t="shared" si="39"/>
        <v>3.0065781017723725</v>
      </c>
      <c r="N103">
        <f t="shared" si="40"/>
        <v>2.953694381550021</v>
      </c>
      <c r="O103">
        <f t="shared" si="41"/>
        <v>2.8763969354066523</v>
      </c>
      <c r="Y103">
        <v>0.46500000000000002</v>
      </c>
      <c r="Z103">
        <f t="shared" si="42"/>
        <v>5.7460515070385035E-2</v>
      </c>
      <c r="AA103">
        <f t="shared" si="43"/>
        <v>0.19636264585308466</v>
      </c>
    </row>
    <row r="104" spans="1:27" x14ac:dyDescent="0.2">
      <c r="A104">
        <v>7.6</v>
      </c>
      <c r="B104">
        <f t="shared" si="44"/>
        <v>1.7184466549197176E-2</v>
      </c>
      <c r="C104">
        <f t="shared" si="51"/>
        <v>2.91918812106714</v>
      </c>
      <c r="D104">
        <f t="shared" si="45"/>
        <v>1.7618040873854827E-2</v>
      </c>
      <c r="E104">
        <f t="shared" si="46"/>
        <v>1.7611726991144324E-2</v>
      </c>
      <c r="F104">
        <f t="shared" si="47"/>
        <v>1.7592825994712333E-2</v>
      </c>
      <c r="G104">
        <f t="shared" si="48"/>
        <v>1.7462201279844967E-2</v>
      </c>
      <c r="H104">
        <f t="shared" si="49"/>
        <v>1.7316420497578484E-2</v>
      </c>
      <c r="I104">
        <f t="shared" si="50"/>
        <v>1.7018379850238258E-2</v>
      </c>
      <c r="J104">
        <f t="shared" ref="J104:J117" si="52">ATAN(2*$D$6*A104/(1-A104^2))+3.1415</f>
        <v>3.1415000000000002</v>
      </c>
      <c r="K104">
        <f t="shared" ref="K104:K117" si="53">ATAN(2*$E$6*A104/(1-A104^2))+3.1415</f>
        <v>3.1147269766275221</v>
      </c>
      <c r="L104">
        <f t="shared" ref="L104:L117" si="54">ATAN(2*$F$6*A104/(1-A104^2))+1.57075*2</f>
        <v>3.0879922798516817</v>
      </c>
      <c r="M104">
        <f t="shared" ref="M104:M117" si="55">ATAN(2*$G$6*A104/(1-A104^2))+1.57075*2</f>
        <v>3.0083945789992952</v>
      </c>
      <c r="N104">
        <f t="shared" ref="N104:N117" si="56">ATAN(2*$H$6*A104/(1-A104^2))+1.57075*2</f>
        <v>2.9561945995745291</v>
      </c>
      <c r="O104">
        <f t="shared" ref="O104:O117" si="57">ATAN(2*$I$6*A104/(1-A104^2))+1.57075*2</f>
        <v>2.8798452078518864</v>
      </c>
      <c r="Y104">
        <v>0.47</v>
      </c>
      <c r="Z104">
        <f t="shared" si="42"/>
        <v>6.4607145835098981E-2</v>
      </c>
      <c r="AA104">
        <f t="shared" si="43"/>
        <v>0.19673032740527496</v>
      </c>
    </row>
    <row r="105" spans="1:27" x14ac:dyDescent="0.2">
      <c r="A105">
        <v>7.7</v>
      </c>
      <c r="B105">
        <f t="shared" si="44"/>
        <v>1.6744274078238332E-2</v>
      </c>
      <c r="C105">
        <f t="shared" si="51"/>
        <v>2.9220794379478146</v>
      </c>
      <c r="D105">
        <f t="shared" si="45"/>
        <v>1.7155601303825697E-2</v>
      </c>
      <c r="E105">
        <f t="shared" si="46"/>
        <v>1.7149617160307714E-2</v>
      </c>
      <c r="F105">
        <f t="shared" si="47"/>
        <v>1.7131702232533085E-2</v>
      </c>
      <c r="G105">
        <f t="shared" si="48"/>
        <v>1.7007850297695706E-2</v>
      </c>
      <c r="H105">
        <f t="shared" si="49"/>
        <v>1.6869542029280982E-2</v>
      </c>
      <c r="I105">
        <f t="shared" si="50"/>
        <v>1.6586498590147616E-2</v>
      </c>
      <c r="J105">
        <f t="shared" si="52"/>
        <v>3.1415000000000002</v>
      </c>
      <c r="K105">
        <f t="shared" si="53"/>
        <v>3.1150865183557803</v>
      </c>
      <c r="L105">
        <f t="shared" si="54"/>
        <v>3.0887098412634657</v>
      </c>
      <c r="M105">
        <f t="shared" si="55"/>
        <v>3.0101622912150852</v>
      </c>
      <c r="N105">
        <f t="shared" si="56"/>
        <v>2.9586287802091711</v>
      </c>
      <c r="O105">
        <f t="shared" si="57"/>
        <v>2.8832054197439603</v>
      </c>
      <c r="Y105">
        <v>0.47499999999999998</v>
      </c>
      <c r="Z105">
        <f t="shared" si="42"/>
        <v>7.1592292381976536E-2</v>
      </c>
      <c r="AA105">
        <f t="shared" si="43"/>
        <v>0.19660628559412602</v>
      </c>
    </row>
    <row r="106" spans="1:27" x14ac:dyDescent="0.2">
      <c r="A106">
        <v>7.8</v>
      </c>
      <c r="B106">
        <f t="shared" si="44"/>
        <v>1.6320739161359461E-2</v>
      </c>
      <c r="C106">
        <f t="shared" si="51"/>
        <v>2.9248964798529973</v>
      </c>
      <c r="D106">
        <f t="shared" si="45"/>
        <v>1.6711229946524065E-2</v>
      </c>
      <c r="E106">
        <f t="shared" si="46"/>
        <v>1.6705554197945546E-2</v>
      </c>
      <c r="F106">
        <f t="shared" si="47"/>
        <v>1.668856158795215E-2</v>
      </c>
      <c r="G106">
        <f t="shared" si="48"/>
        <v>1.6571047726864536E-2</v>
      </c>
      <c r="H106">
        <f t="shared" si="49"/>
        <v>1.6439738777098749E-2</v>
      </c>
      <c r="I106">
        <f t="shared" si="50"/>
        <v>1.6170763260025874E-2</v>
      </c>
      <c r="J106">
        <f t="shared" si="52"/>
        <v>3.1415000000000002</v>
      </c>
      <c r="K106">
        <f t="shared" si="53"/>
        <v>3.1154363846634623</v>
      </c>
      <c r="L106">
        <f t="shared" si="54"/>
        <v>3.089408131950004</v>
      </c>
      <c r="M106">
        <f t="shared" si="55"/>
        <v>3.0118831942758786</v>
      </c>
      <c r="N106">
        <f t="shared" si="56"/>
        <v>2.9609995175898778</v>
      </c>
      <c r="O106">
        <f t="shared" si="57"/>
        <v>2.8864808835695235</v>
      </c>
      <c r="Y106">
        <v>0.48</v>
      </c>
      <c r="Z106">
        <f t="shared" si="42"/>
        <v>7.8398495482444153E-2</v>
      </c>
      <c r="AA106">
        <f t="shared" si="43"/>
        <v>0.19599083045956597</v>
      </c>
    </row>
    <row r="107" spans="1:27" x14ac:dyDescent="0.2">
      <c r="A107">
        <v>7.9</v>
      </c>
      <c r="B107">
        <f t="shared" si="44"/>
        <v>1.5913033958233708E-2</v>
      </c>
      <c r="C107">
        <f t="shared" si="51"/>
        <v>2.9276420731595305</v>
      </c>
      <c r="D107">
        <f t="shared" si="45"/>
        <v>1.6283992835043153E-2</v>
      </c>
      <c r="E107">
        <f t="shared" si="46"/>
        <v>1.6278605780965537E-2</v>
      </c>
      <c r="F107">
        <f t="shared" si="47"/>
        <v>1.6262476640755794E-2</v>
      </c>
      <c r="G107">
        <f t="shared" si="48"/>
        <v>1.6150899303579443E-2</v>
      </c>
      <c r="H107">
        <f t="shared" si="49"/>
        <v>1.6026152017200146E-2</v>
      </c>
      <c r="I107">
        <f t="shared" si="50"/>
        <v>1.5770383220312253E-2</v>
      </c>
      <c r="J107">
        <f t="shared" si="52"/>
        <v>3.1415000000000002</v>
      </c>
      <c r="K107">
        <f t="shared" si="53"/>
        <v>3.1157769662474877</v>
      </c>
      <c r="L107">
        <f t="shared" si="54"/>
        <v>3.0900879280670881</v>
      </c>
      <c r="M107">
        <f t="shared" si="55"/>
        <v>3.0135591399782675</v>
      </c>
      <c r="N107">
        <f t="shared" si="56"/>
        <v>2.9633092712049574</v>
      </c>
      <c r="O107">
        <f t="shared" si="57"/>
        <v>2.889674748628404</v>
      </c>
      <c r="Y107">
        <v>0.48499999999999999</v>
      </c>
      <c r="Z107">
        <f t="shared" si="42"/>
        <v>8.5008743173352816E-2</v>
      </c>
      <c r="AA107">
        <f t="shared" si="43"/>
        <v>0.19488550031890836</v>
      </c>
    </row>
    <row r="108" spans="1:27" x14ac:dyDescent="0.2">
      <c r="A108">
        <v>8</v>
      </c>
      <c r="B108">
        <f t="shared" si="44"/>
        <v>1.5520381288464162E-2</v>
      </c>
      <c r="C108">
        <f t="shared" si="51"/>
        <v>2.9303189026461745</v>
      </c>
      <c r="D108">
        <f t="shared" si="45"/>
        <v>1.5873015873015872E-2</v>
      </c>
      <c r="E108">
        <f t="shared" si="46"/>
        <v>1.5867899310394284E-2</v>
      </c>
      <c r="F108">
        <f t="shared" si="47"/>
        <v>1.5852579258812251E-2</v>
      </c>
      <c r="G108">
        <f t="shared" si="48"/>
        <v>1.5746567130480959E-2</v>
      </c>
      <c r="H108">
        <f t="shared" si="49"/>
        <v>1.5627976314062011E-2</v>
      </c>
      <c r="I108">
        <f t="shared" si="50"/>
        <v>1.5384615384615385E-2</v>
      </c>
      <c r="J108">
        <f t="shared" si="52"/>
        <v>3.1415000000000002</v>
      </c>
      <c r="K108">
        <f t="shared" si="53"/>
        <v>3.1161086327978089</v>
      </c>
      <c r="L108">
        <f t="shared" si="54"/>
        <v>3.0907499641647722</v>
      </c>
      <c r="M108">
        <f t="shared" si="55"/>
        <v>3.0151918829367599</v>
      </c>
      <c r="N108">
        <f t="shared" si="56"/>
        <v>2.9655603745474726</v>
      </c>
      <c r="O108">
        <f t="shared" si="57"/>
        <v>2.8927900109064772</v>
      </c>
      <c r="Y108">
        <v>0.49</v>
      </c>
      <c r="Z108">
        <f t="shared" si="42"/>
        <v>9.1406513278025833E-2</v>
      </c>
      <c r="AA108">
        <f t="shared" si="43"/>
        <v>0.19329305792186002</v>
      </c>
    </row>
    <row r="109" spans="1:27" x14ac:dyDescent="0.2">
      <c r="A109">
        <v>8.1</v>
      </c>
      <c r="B109">
        <f t="shared" si="44"/>
        <v>1.5142050966626628E-2</v>
      </c>
      <c r="C109">
        <f t="shared" si="51"/>
        <v>2.9329295202482135</v>
      </c>
      <c r="D109">
        <f t="shared" si="45"/>
        <v>1.5477480266212661E-2</v>
      </c>
      <c r="E109">
        <f t="shared" si="46"/>
        <v>1.5472617357750041E-2</v>
      </c>
      <c r="F109">
        <f t="shared" si="47"/>
        <v>1.5458056088368524E-2</v>
      </c>
      <c r="G109">
        <f t="shared" si="48"/>
        <v>1.535726545826706E-2</v>
      </c>
      <c r="H109">
        <f t="shared" si="49"/>
        <v>1.5244455603280121E-2</v>
      </c>
      <c r="I109">
        <f t="shared" si="50"/>
        <v>1.5012760846719712E-2</v>
      </c>
      <c r="J109">
        <f t="shared" si="52"/>
        <v>3.1415000000000002</v>
      </c>
      <c r="K109">
        <f t="shared" si="53"/>
        <v>3.1164317344049706</v>
      </c>
      <c r="L109">
        <f t="shared" si="54"/>
        <v>3.0913949359656403</v>
      </c>
      <c r="M109">
        <f t="shared" si="55"/>
        <v>3.0167830869197627</v>
      </c>
      <c r="N109">
        <f t="shared" si="56"/>
        <v>2.9677550431071782</v>
      </c>
      <c r="O109">
        <f t="shared" si="57"/>
        <v>2.8958295222442101</v>
      </c>
      <c r="Y109">
        <v>0.495</v>
      </c>
      <c r="Z109">
        <f t="shared" si="42"/>
        <v>9.7575814703095565E-2</v>
      </c>
      <c r="AA109">
        <f t="shared" si="43"/>
        <v>0.19121748354508564</v>
      </c>
    </row>
    <row r="110" spans="1:27" x14ac:dyDescent="0.2">
      <c r="A110">
        <v>8.1999999999999993</v>
      </c>
      <c r="B110">
        <f t="shared" si="44"/>
        <v>1.477735644206345E-2</v>
      </c>
      <c r="C110">
        <f t="shared" si="51"/>
        <v>2.9354763531708921</v>
      </c>
      <c r="D110">
        <f t="shared" si="45"/>
        <v>1.5096618357487924E-2</v>
      </c>
      <c r="E110">
        <f t="shared" si="46"/>
        <v>1.5091993513101728E-2</v>
      </c>
      <c r="F110">
        <f t="shared" si="47"/>
        <v>1.5078144441100528E-2</v>
      </c>
      <c r="G110">
        <f t="shared" si="48"/>
        <v>1.498225683172804E-2</v>
      </c>
      <c r="H110">
        <f t="shared" si="49"/>
        <v>1.4874879606000733E-2</v>
      </c>
      <c r="I110">
        <f t="shared" si="50"/>
        <v>1.4654161781946074E-2</v>
      </c>
      <c r="J110">
        <f t="shared" si="52"/>
        <v>3.1415000000000002</v>
      </c>
      <c r="K110">
        <f t="shared" si="53"/>
        <v>3.1167466028550201</v>
      </c>
      <c r="L110">
        <f t="shared" si="54"/>
        <v>3.0920235029215566</v>
      </c>
      <c r="M110">
        <f t="shared" si="55"/>
        <v>3.0183343306934103</v>
      </c>
      <c r="N110">
        <f t="shared" si="56"/>
        <v>2.9698953817602076</v>
      </c>
      <c r="O110">
        <f t="shared" si="57"/>
        <v>2.8987959988584731</v>
      </c>
      <c r="Y110">
        <v>0.5</v>
      </c>
      <c r="Z110">
        <f t="shared" si="42"/>
        <v>0.1035012274079095</v>
      </c>
      <c r="AA110">
        <f t="shared" si="43"/>
        <v>0.18866396504358887</v>
      </c>
    </row>
    <row r="111" spans="1:27" x14ac:dyDescent="0.2">
      <c r="A111">
        <v>8.3000000000000007</v>
      </c>
      <c r="B111">
        <f t="shared" si="44"/>
        <v>1.4425651714895538E-2</v>
      </c>
      <c r="C111">
        <f t="shared" si="51"/>
        <v>2.9379617114157535</v>
      </c>
      <c r="D111">
        <f t="shared" si="45"/>
        <v>1.472970982471645E-2</v>
      </c>
      <c r="E111">
        <f t="shared" si="46"/>
        <v>1.4725308594661491E-2</v>
      </c>
      <c r="F111">
        <f t="shared" si="47"/>
        <v>1.4712128538373798E-2</v>
      </c>
      <c r="G111">
        <f t="shared" si="48"/>
        <v>1.462084856458359E-2</v>
      </c>
      <c r="H111">
        <f t="shared" si="49"/>
        <v>1.4518580543301692E-2</v>
      </c>
      <c r="I111">
        <f t="shared" si="50"/>
        <v>1.4308198597796534E-2</v>
      </c>
      <c r="J111">
        <f t="shared" si="52"/>
        <v>3.1415000000000002</v>
      </c>
      <c r="K111">
        <f t="shared" si="53"/>
        <v>3.117053552822223</v>
      </c>
      <c r="L111">
        <f t="shared" si="54"/>
        <v>3.0926362905693656</v>
      </c>
      <c r="M111">
        <f t="shared" si="55"/>
        <v>3.0198471134174811</v>
      </c>
      <c r="N111">
        <f t="shared" si="56"/>
        <v>2.9719833916088976</v>
      </c>
      <c r="O111">
        <f t="shared" si="57"/>
        <v>2.9016920292699524</v>
      </c>
      <c r="Y111">
        <v>0.505</v>
      </c>
      <c r="Z111">
        <f t="shared" si="42"/>
        <v>0.1091679409466009</v>
      </c>
      <c r="AA111">
        <f t="shared" si="43"/>
        <v>0.18563888488377678</v>
      </c>
    </row>
    <row r="112" spans="1:27" x14ac:dyDescent="0.2">
      <c r="A112">
        <v>8.4</v>
      </c>
      <c r="B112">
        <f t="shared" si="44"/>
        <v>1.408632850268055E-2</v>
      </c>
      <c r="C112">
        <f t="shared" si="51"/>
        <v>2.9403877947688071</v>
      </c>
      <c r="D112">
        <f t="shared" si="45"/>
        <v>1.437607820586544E-2</v>
      </c>
      <c r="E112">
        <f t="shared" si="46"/>
        <v>1.437188718423456E-2</v>
      </c>
      <c r="F112">
        <f t="shared" si="47"/>
        <v>1.4359336077566264E-2</v>
      </c>
      <c r="G112">
        <f t="shared" si="48"/>
        <v>1.4272389511402134E-2</v>
      </c>
      <c r="H112">
        <f t="shared" si="49"/>
        <v>1.4174930122210576E-2</v>
      </c>
      <c r="I112">
        <f t="shared" si="50"/>
        <v>1.397428731134712E-2</v>
      </c>
      <c r="J112">
        <f t="shared" si="52"/>
        <v>3.1415000000000002</v>
      </c>
      <c r="K112">
        <f t="shared" si="53"/>
        <v>3.1173528829689423</v>
      </c>
      <c r="L112">
        <f t="shared" si="54"/>
        <v>3.0932338927038776</v>
      </c>
      <c r="M112">
        <f t="shared" si="55"/>
        <v>3.0213228596331314</v>
      </c>
      <c r="N112">
        <f t="shared" si="56"/>
        <v>2.9740209763189953</v>
      </c>
      <c r="O112">
        <f t="shared" si="57"/>
        <v>2.9045200816837244</v>
      </c>
      <c r="Y112">
        <v>0.51</v>
      </c>
      <c r="Z112">
        <f t="shared" si="42"/>
        <v>0.1145617914864904</v>
      </c>
      <c r="AA112">
        <f t="shared" si="43"/>
        <v>0.18214980419061758</v>
      </c>
    </row>
    <row r="113" spans="1:27" x14ac:dyDescent="0.2">
      <c r="A113">
        <v>8.5</v>
      </c>
      <c r="B113">
        <f t="shared" si="44"/>
        <v>1.3758813634769773E-2</v>
      </c>
      <c r="C113">
        <f t="shared" si="51"/>
        <v>2.9427566992948568</v>
      </c>
      <c r="D113">
        <f t="shared" si="45"/>
        <v>1.4035087719298246E-2</v>
      </c>
      <c r="E113">
        <f t="shared" si="46"/>
        <v>1.403109445677693E-2</v>
      </c>
      <c r="F113">
        <f t="shared" si="47"/>
        <v>1.4019135089161196E-2</v>
      </c>
      <c r="G113">
        <f t="shared" si="48"/>
        <v>1.3936267108288365E-2</v>
      </c>
      <c r="H113">
        <f t="shared" si="49"/>
        <v>1.384333676801539E-2</v>
      </c>
      <c r="I113">
        <f t="shared" si="50"/>
        <v>1.3651877133105802E-2</v>
      </c>
      <c r="J113">
        <f t="shared" si="52"/>
        <v>3.1415000000000002</v>
      </c>
      <c r="K113">
        <f t="shared" si="53"/>
        <v>3.1176448769610547</v>
      </c>
      <c r="L113">
        <f t="shared" si="54"/>
        <v>3.0938168733845712</v>
      </c>
      <c r="M113">
        <f t="shared" si="55"/>
        <v>3.0227629238781941</v>
      </c>
      <c r="N113">
        <f t="shared" si="56"/>
        <v>2.9760099479969044</v>
      </c>
      <c r="O113">
        <f t="shared" si="57"/>
        <v>2.9072825108662714</v>
      </c>
      <c r="Y113">
        <v>0.51500000000000001</v>
      </c>
      <c r="Z113">
        <f t="shared" si="42"/>
        <v>0.1196692972102914</v>
      </c>
      <c r="AA113">
        <f t="shared" si="43"/>
        <v>0.17820544384876597</v>
      </c>
    </row>
    <row r="114" spans="1:27" x14ac:dyDescent="0.2">
      <c r="A114">
        <v>8.6</v>
      </c>
      <c r="B114">
        <f t="shared" si="44"/>
        <v>1.3442566653745996E-2</v>
      </c>
      <c r="C114">
        <f t="shared" si="51"/>
        <v>2.9450704233781937</v>
      </c>
      <c r="D114">
        <f t="shared" si="45"/>
        <v>1.3706140350877194E-2</v>
      </c>
      <c r="E114">
        <f t="shared" si="46"/>
        <v>1.3702333275762309E-2</v>
      </c>
      <c r="F114">
        <f t="shared" si="47"/>
        <v>1.3690931056709E-2</v>
      </c>
      <c r="G114">
        <f t="shared" si="48"/>
        <v>1.3611904657028958E-2</v>
      </c>
      <c r="H114">
        <f t="shared" si="49"/>
        <v>1.3523243080150531E-2</v>
      </c>
      <c r="I114">
        <f t="shared" si="50"/>
        <v>1.3340448239060833E-2</v>
      </c>
      <c r="J114">
        <f t="shared" si="52"/>
        <v>3.1415000000000002</v>
      </c>
      <c r="K114">
        <f t="shared" si="53"/>
        <v>3.117929804406431</v>
      </c>
      <c r="L114">
        <f t="shared" si="54"/>
        <v>3.0943857687907674</v>
      </c>
      <c r="M114">
        <f t="shared" si="55"/>
        <v>3.0241685949622306</v>
      </c>
      <c r="N114">
        <f t="shared" si="56"/>
        <v>2.9779520326455211</v>
      </c>
      <c r="O114">
        <f t="shared" si="57"/>
        <v>2.9099815645583789</v>
      </c>
      <c r="Y114">
        <v>0.52</v>
      </c>
      <c r="Z114">
        <f t="shared" si="42"/>
        <v>0.12447769201363183</v>
      </c>
      <c r="AA114">
        <f t="shared" si="43"/>
        <v>0.1738156627048936</v>
      </c>
    </row>
    <row r="115" spans="1:27" x14ac:dyDescent="0.2">
      <c r="A115">
        <v>8.6999999999999993</v>
      </c>
      <c r="B115">
        <f t="shared" si="44"/>
        <v>1.3137077605395224E-2</v>
      </c>
      <c r="C115">
        <f t="shared" si="51"/>
        <v>2.9473308733461674</v>
      </c>
      <c r="D115">
        <f t="shared" si="45"/>
        <v>1.3388673182487619E-2</v>
      </c>
      <c r="E115">
        <f t="shared" si="46"/>
        <v>1.3385041529097055E-2</v>
      </c>
      <c r="F115">
        <f t="shared" si="47"/>
        <v>1.3374164274742618E-2</v>
      </c>
      <c r="G115">
        <f t="shared" si="48"/>
        <v>1.3298758830039699E-2</v>
      </c>
      <c r="H115">
        <f t="shared" si="49"/>
        <v>1.3214123491268558E-2</v>
      </c>
      <c r="I115">
        <f t="shared" si="50"/>
        <v>1.303950971443474E-2</v>
      </c>
      <c r="J115">
        <f t="shared" si="52"/>
        <v>3.1415000000000002</v>
      </c>
      <c r="K115">
        <f t="shared" si="53"/>
        <v>3.1182079217232479</v>
      </c>
      <c r="L115">
        <f t="shared" si="54"/>
        <v>3.0949410889385507</v>
      </c>
      <c r="M115">
        <f t="shared" si="55"/>
        <v>3.025541099930384</v>
      </c>
      <c r="N115">
        <f t="shared" si="56"/>
        <v>2.9798488752335714</v>
      </c>
      <c r="O115">
        <f t="shared" si="57"/>
        <v>2.9126193894598731</v>
      </c>
      <c r="Y115">
        <v>0.52500000000000002</v>
      </c>
      <c r="Z115">
        <f t="shared" si="42"/>
        <v>0.12897495741366699</v>
      </c>
      <c r="AA115">
        <f t="shared" si="43"/>
        <v>0.16899143292570623</v>
      </c>
    </row>
    <row r="116" spans="1:27" x14ac:dyDescent="0.2">
      <c r="A116">
        <v>8.8000000000000007</v>
      </c>
      <c r="B116">
        <f t="shared" si="44"/>
        <v>1.2841865000507916E-2</v>
      </c>
      <c r="C116">
        <f t="shared" si="51"/>
        <v>2.9495398687088423</v>
      </c>
      <c r="D116">
        <f t="shared" si="45"/>
        <v>1.3082155939298795E-2</v>
      </c>
      <c r="E116">
        <f t="shared" si="46"/>
        <v>1.3078689683000428E-2</v>
      </c>
      <c r="F116">
        <f t="shared" si="47"/>
        <v>1.3068307422365161E-2</v>
      </c>
      <c r="G116">
        <f t="shared" si="48"/>
        <v>1.2996317375805203E-2</v>
      </c>
      <c r="H116">
        <f t="shared" si="49"/>
        <v>1.2915482111174917E-2</v>
      </c>
      <c r="I116">
        <f t="shared" si="50"/>
        <v>1.274859765425803E-2</v>
      </c>
      <c r="J116">
        <f t="shared" si="52"/>
        <v>3.1415000000000002</v>
      </c>
      <c r="K116">
        <f t="shared" si="53"/>
        <v>3.118479472944208</v>
      </c>
      <c r="L116">
        <f t="shared" si="54"/>
        <v>3.0954833192713824</v>
      </c>
      <c r="M116">
        <f t="shared" si="55"/>
        <v>3.0268816077422613</v>
      </c>
      <c r="N116">
        <f t="shared" si="56"/>
        <v>2.9817020444100844</v>
      </c>
      <c r="O116">
        <f t="shared" si="57"/>
        <v>2.9151980368190311</v>
      </c>
      <c r="Y116">
        <v>0.53</v>
      </c>
      <c r="Z116">
        <f t="shared" si="42"/>
        <v>0.1331498525890274</v>
      </c>
      <c r="AA116">
        <f t="shared" si="43"/>
        <v>0.1637448125732415</v>
      </c>
    </row>
    <row r="117" spans="1:27" x14ac:dyDescent="0.2">
      <c r="A117">
        <v>8.9</v>
      </c>
      <c r="B117">
        <f t="shared" si="44"/>
        <v>1.2556473933447715E-2</v>
      </c>
      <c r="C117">
        <f t="shared" si="51"/>
        <v>2.9516991470449385</v>
      </c>
      <c r="D117">
        <f t="shared" si="45"/>
        <v>1.2786088735455822E-2</v>
      </c>
      <c r="E117">
        <f t="shared" si="46"/>
        <v>1.2782778533633016E-2</v>
      </c>
      <c r="F117">
        <f t="shared" si="47"/>
        <v>1.2772863332555969E-2</v>
      </c>
      <c r="G117">
        <f t="shared" si="48"/>
        <v>1.2704097006582434E-2</v>
      </c>
      <c r="H117">
        <f t="shared" si="49"/>
        <v>1.2626850739139186E-2</v>
      </c>
      <c r="I117">
        <f t="shared" si="50"/>
        <v>1.246727340730582E-2</v>
      </c>
      <c r="J117">
        <f t="shared" si="52"/>
        <v>3.1415000000000002</v>
      </c>
      <c r="K117">
        <f t="shared" si="53"/>
        <v>3.1187446904621674</v>
      </c>
      <c r="L117">
        <f t="shared" si="54"/>
        <v>3.0960129221351917</v>
      </c>
      <c r="M117">
        <f t="shared" si="55"/>
        <v>3.0281912326895721</v>
      </c>
      <c r="N117">
        <f t="shared" si="56"/>
        <v>2.9835130368926963</v>
      </c>
      <c r="O117">
        <f t="shared" si="57"/>
        <v>2.917719467656648</v>
      </c>
      <c r="Y117">
        <v>0.53500000000000003</v>
      </c>
      <c r="Z117">
        <f t="shared" si="42"/>
        <v>0.13699194247601792</v>
      </c>
      <c r="AA117">
        <f t="shared" si="43"/>
        <v>0.1580889154659936</v>
      </c>
    </row>
    <row r="118" spans="1:27" x14ac:dyDescent="0.2">
      <c r="Y118">
        <v>0.54</v>
      </c>
      <c r="Z118">
        <f t="shared" si="42"/>
        <v>0.14049162385084288</v>
      </c>
      <c r="AA118">
        <f t="shared" si="43"/>
        <v>0.15203787840119631</v>
      </c>
    </row>
    <row r="119" spans="1:27" x14ac:dyDescent="0.2">
      <c r="Y119">
        <v>0.54500000000000004</v>
      </c>
      <c r="Z119">
        <f t="shared" si="42"/>
        <v>0.14364014933266403</v>
      </c>
      <c r="AA119">
        <f t="shared" si="43"/>
        <v>0.14560682582019249</v>
      </c>
    </row>
    <row r="120" spans="1:27" x14ac:dyDescent="0.2">
      <c r="Y120">
        <v>0.55000000000000004</v>
      </c>
      <c r="Z120">
        <f t="shared" si="42"/>
        <v>0.14642964924749718</v>
      </c>
      <c r="AA120">
        <f t="shared" si="43"/>
        <v>0.13881183200520719</v>
      </c>
    </row>
    <row r="121" spans="1:27" x14ac:dyDescent="0.2">
      <c r="Y121">
        <v>0.55500000000000005</v>
      </c>
      <c r="Z121">
        <f t="shared" si="42"/>
        <v>0.14885315129829882</v>
      </c>
      <c r="AA121">
        <f t="shared" si="43"/>
        <v>0.13166988090201334</v>
      </c>
    </row>
    <row r="122" spans="1:27" x14ac:dyDescent="0.2">
      <c r="Y122">
        <v>0.56000000000000005</v>
      </c>
      <c r="Z122">
        <f t="shared" si="42"/>
        <v>0.15090459799207726</v>
      </c>
      <c r="AA122">
        <f t="shared" si="43"/>
        <v>0.12419882366891298</v>
      </c>
    </row>
    <row r="123" spans="1:27" x14ac:dyDescent="0.2">
      <c r="Y123">
        <v>0.56499999999999995</v>
      </c>
      <c r="Z123">
        <f t="shared" si="42"/>
        <v>0.15257886178047086</v>
      </c>
      <c r="AA123">
        <f t="shared" si="43"/>
        <v>0.11641733405813749</v>
      </c>
    </row>
    <row r="124" spans="1:27" x14ac:dyDescent="0.2">
      <c r="Y124">
        <v>0.56999999999999995</v>
      </c>
      <c r="Z124">
        <f t="shared" si="42"/>
        <v>0.15387175787594848</v>
      </c>
      <c r="AA124">
        <f t="shared" si="43"/>
        <v>0.10834486174119205</v>
      </c>
    </row>
    <row r="125" spans="1:27" x14ac:dyDescent="0.2">
      <c r="Y125">
        <v>0.57499999999999996</v>
      </c>
      <c r="Z125">
        <f t="shared" si="42"/>
        <v>0.15478005471159864</v>
      </c>
      <c r="AA125">
        <f t="shared" si="43"/>
        <v>0.10000158369480673</v>
      </c>
    </row>
    <row r="126" spans="1:27" x14ac:dyDescent="0.2">
      <c r="Y126">
        <v>0.57999999999999996</v>
      </c>
      <c r="Z126">
        <f t="shared" si="42"/>
        <v>0.155301482018364</v>
      </c>
      <c r="AA126">
        <f t="shared" si="43"/>
        <v>9.1408353769002554E-2</v>
      </c>
    </row>
    <row r="127" spans="1:27" x14ac:dyDescent="0.2">
      <c r="Y127">
        <v>0.58499999999999996</v>
      </c>
      <c r="Z127">
        <f t="shared" si="42"/>
        <v>0.15543473649953182</v>
      </c>
      <c r="AA127">
        <f t="shared" si="43"/>
        <v>8.2586650563326258E-2</v>
      </c>
    </row>
    <row r="128" spans="1:27" x14ac:dyDescent="0.2">
      <c r="Y128">
        <v>0.59</v>
      </c>
      <c r="Z128">
        <f t="shared" si="42"/>
        <v>0.15517948508829674</v>
      </c>
      <c r="AA128">
        <f t="shared" si="43"/>
        <v>7.3558523741537818E-2</v>
      </c>
    </row>
    <row r="129" spans="25:27" x14ac:dyDescent="0.2">
      <c r="Y129">
        <v>0.59499999999999997</v>
      </c>
      <c r="Z129">
        <f t="shared" si="42"/>
        <v>0.15453636578025448</v>
      </c>
      <c r="AA129">
        <f t="shared" si="43"/>
        <v>6.4346538918934146E-2</v>
      </c>
    </row>
    <row r="130" spans="25:27" x14ac:dyDescent="0.2">
      <c r="Y130">
        <v>0.6</v>
      </c>
      <c r="Z130">
        <f t="shared" si="42"/>
        <v>0.15350698603874505</v>
      </c>
      <c r="AA130">
        <f t="shared" si="43"/>
        <v>5.4973721260062641E-2</v>
      </c>
    </row>
    <row r="131" spans="25:27" x14ac:dyDescent="0.2">
      <c r="Y131">
        <v>0.60499999999999998</v>
      </c>
      <c r="Z131">
        <f t="shared" si="42"/>
        <v>0.15209391877703168</v>
      </c>
      <c r="AA131">
        <f t="shared" si="43"/>
        <v>4.5463497927801723E-2</v>
      </c>
    </row>
    <row r="132" spans="25:27" x14ac:dyDescent="0.2">
      <c r="Y132">
        <v>0.61</v>
      </c>
      <c r="Z132">
        <f t="shared" si="42"/>
        <v>0.15030069592735745</v>
      </c>
      <c r="AA132">
        <f t="shared" si="43"/>
        <v>3.5839639527653316E-2</v>
      </c>
    </row>
    <row r="133" spans="25:27" x14ac:dyDescent="0.2">
      <c r="Y133">
        <v>0.61499999999999999</v>
      </c>
      <c r="Z133">
        <f t="shared" si="42"/>
        <v>0.14813179961295403</v>
      </c>
      <c r="AA133">
        <f t="shared" si="43"/>
        <v>2.6126200693609065E-2</v>
      </c>
    </row>
    <row r="134" spans="25:27" x14ac:dyDescent="0.2">
      <c r="Y134">
        <v>0.62</v>
      </c>
      <c r="Z134">
        <f t="shared" si="42"/>
        <v>0.14559265094506824</v>
      </c>
      <c r="AA134">
        <f t="shared" si="43"/>
        <v>1.6347459964093251E-2</v>
      </c>
    </row>
    <row r="135" spans="25:27" x14ac:dyDescent="0.2">
      <c r="Y135">
        <v>0.625</v>
      </c>
      <c r="Z135">
        <f t="shared" si="42"/>
        <v>0.14268959647300658</v>
      </c>
      <c r="AA135">
        <f t="shared" si="43"/>
        <v>6.5278590982597758E-3</v>
      </c>
    </row>
    <row r="136" spans="25:27" x14ac:dyDescent="0.2">
      <c r="Y136">
        <v>0.63</v>
      </c>
      <c r="Z136">
        <f t="shared" si="42"/>
        <v>0.13942989232106776</v>
      </c>
      <c r="AA136">
        <f t="shared" si="43"/>
        <v>-3.308058015676049E-3</v>
      </c>
    </row>
    <row r="137" spans="25:27" x14ac:dyDescent="0.2">
      <c r="Y137">
        <v>0.63500000000000001</v>
      </c>
      <c r="Z137">
        <f t="shared" si="42"/>
        <v>0.13582168605201045</v>
      </c>
      <c r="AA137">
        <f t="shared" si="43"/>
        <v>-1.3135706707375993E-2</v>
      </c>
    </row>
    <row r="138" spans="25:27" x14ac:dyDescent="0.2">
      <c r="Y138">
        <v>0.64</v>
      </c>
      <c r="Z138">
        <f t="shared" si="42"/>
        <v>0.13187399630238977</v>
      </c>
      <c r="AA138">
        <f t="shared" si="43"/>
        <v>-2.2930522973251481E-2</v>
      </c>
    </row>
    <row r="139" spans="25:27" x14ac:dyDescent="0.2">
      <c r="Y139">
        <v>0.64500000000000002</v>
      </c>
      <c r="Z139">
        <f t="shared" ref="Z139:Z202" si="58">$W$3*SIN($Q$3*Y139-$Z$3)</f>
        <v>0.12759669024066284</v>
      </c>
      <c r="AA139">
        <f t="shared" ref="AA139:AA202" si="59">$U$3*SIN($Q$3*Y139)</f>
        <v>-3.2668024873679175E-2</v>
      </c>
    </row>
    <row r="140" spans="25:27" x14ac:dyDescent="0.2">
      <c r="Y140">
        <v>0.65</v>
      </c>
      <c r="Z140">
        <f t="shared" si="58"/>
        <v>0.12300045890440592</v>
      </c>
      <c r="AA140">
        <f t="shared" si="59"/>
        <v>-4.2323873725101151E-2</v>
      </c>
    </row>
    <row r="141" spans="25:27" x14ac:dyDescent="0.2">
      <c r="Y141">
        <v>0.65500000000000003</v>
      </c>
      <c r="Z141">
        <f t="shared" si="58"/>
        <v>0.11809679047828861</v>
      </c>
      <c r="AA141">
        <f t="shared" si="59"/>
        <v>-5.1873934934057876E-2</v>
      </c>
    </row>
    <row r="142" spans="25:27" x14ac:dyDescent="0.2">
      <c r="Y142">
        <v>0.66</v>
      </c>
      <c r="Z142">
        <f t="shared" si="58"/>
        <v>0.11289794157959519</v>
      </c>
      <c r="AA142">
        <f t="shared" si="59"/>
        <v>-6.1294338321102357E-2</v>
      </c>
    </row>
    <row r="143" spans="25:27" x14ac:dyDescent="0.2">
      <c r="Y143">
        <v>0.66500000000000004</v>
      </c>
      <c r="Z143">
        <f t="shared" si="58"/>
        <v>0.10741690662306416</v>
      </c>
      <c r="AA143">
        <f t="shared" si="59"/>
        <v>-7.0561537783818407E-2</v>
      </c>
    </row>
    <row r="144" spans="25:27" x14ac:dyDescent="0.2">
      <c r="Y144">
        <v>0.67</v>
      </c>
      <c r="Z144">
        <f t="shared" si="58"/>
        <v>0.10166738534161902</v>
      </c>
      <c r="AA144">
        <f t="shared" si="59"/>
        <v>-7.9652370149813398E-2</v>
      </c>
    </row>
    <row r="145" spans="25:27" x14ac:dyDescent="0.2">
      <c r="Y145">
        <v>0.67500000000000004</v>
      </c>
      <c r="Z145">
        <f t="shared" si="58"/>
        <v>9.566374854417059E-2</v>
      </c>
      <c r="AA145">
        <f t="shared" si="59"/>
        <v>-8.8544113072586347E-2</v>
      </c>
    </row>
    <row r="146" spans="25:27" x14ac:dyDescent="0.2">
      <c r="Y146">
        <v>0.68</v>
      </c>
      <c r="Z146">
        <f t="shared" si="58"/>
        <v>8.9421002196078764E-2</v>
      </c>
      <c r="AA146">
        <f t="shared" si="59"/>
        <v>-9.7214541825560635E-2</v>
      </c>
    </row>
    <row r="147" spans="25:27" x14ac:dyDescent="0.2">
      <c r="Y147">
        <v>0.68500000000000005</v>
      </c>
      <c r="Z147">
        <f t="shared" si="58"/>
        <v>8.2954749912054551E-2</v>
      </c>
      <c r="AA147">
        <f t="shared" si="59"/>
        <v>-0.10564198485232557</v>
      </c>
    </row>
    <row r="148" spans="25:27" x14ac:dyDescent="0.2">
      <c r="Y148">
        <v>0.69</v>
      </c>
      <c r="Z148">
        <f t="shared" si="58"/>
        <v>7.6281153955248926E-2</v>
      </c>
      <c r="AA148">
        <f t="shared" si="59"/>
        <v>-0.11380537793424168</v>
      </c>
    </row>
    <row r="149" spans="25:27" x14ac:dyDescent="0.2">
      <c r="Y149">
        <v>0.69499999999999995</v>
      </c>
      <c r="Z149">
        <f t="shared" si="58"/>
        <v>6.9416894840012094E-2</v>
      </c>
      <c r="AA149">
        <f t="shared" si="59"/>
        <v>-0.12168431684001745</v>
      </c>
    </row>
    <row r="150" spans="25:27" x14ac:dyDescent="0.2">
      <c r="Y150">
        <v>0.7</v>
      </c>
      <c r="Z150">
        <f t="shared" si="58"/>
        <v>6.2379129639295074E-2</v>
      </c>
      <c r="AA150">
        <f t="shared" si="59"/>
        <v>-0.12925910832566043</v>
      </c>
    </row>
    <row r="151" spans="25:27" x14ac:dyDescent="0.2">
      <c r="Y151">
        <v>0.70499999999999996</v>
      </c>
      <c r="Z151">
        <f t="shared" si="58"/>
        <v>5.5185449100902645E-2</v>
      </c>
      <c r="AA151">
        <f t="shared" si="59"/>
        <v>-0.13651081935733145</v>
      </c>
    </row>
    <row r="152" spans="25:27" x14ac:dyDescent="0.2">
      <c r="Y152">
        <v>0.71</v>
      </c>
      <c r="Z152">
        <f t="shared" si="58"/>
        <v>4.7853833679784283E-2</v>
      </c>
      <c r="AA152">
        <f t="shared" si="59"/>
        <v>-0.14342132443406955</v>
      </c>
    </row>
    <row r="153" spans="25:27" x14ac:dyDescent="0.2">
      <c r="Y153">
        <v>0.71499999999999997</v>
      </c>
      <c r="Z153">
        <f t="shared" si="58"/>
        <v>4.0402608596261276E-2</v>
      </c>
      <c r="AA153">
        <f t="shared" si="59"/>
        <v>-0.14997335089210431</v>
      </c>
    </row>
    <row r="154" spans="25:27" x14ac:dyDescent="0.2">
      <c r="Y154">
        <v>0.72</v>
      </c>
      <c r="Z154">
        <f t="shared" si="58"/>
        <v>3.2850398032519414E-2</v>
      </c>
      <c r="AA154">
        <f t="shared" si="59"/>
        <v>-0.15615052207752014</v>
      </c>
    </row>
    <row r="155" spans="25:27" x14ac:dyDescent="0.2">
      <c r="Y155">
        <v>0.72499999999999998</v>
      </c>
      <c r="Z155">
        <f t="shared" si="58"/>
        <v>2.5216078581852694E-2</v>
      </c>
      <c r="AA155">
        <f t="shared" si="59"/>
        <v>-0.16193739827936213</v>
      </c>
    </row>
    <row r="156" spans="25:27" x14ac:dyDescent="0.2">
      <c r="Y156">
        <v>0.73</v>
      </c>
      <c r="Z156">
        <f t="shared" si="58"/>
        <v>1.7518732067011343E-2</v>
      </c>
      <c r="AA156">
        <f t="shared" si="59"/>
        <v>-0.16731951532087228</v>
      </c>
    </row>
    <row r="157" spans="25:27" x14ac:dyDescent="0.2">
      <c r="Y157">
        <v>0.73499999999999999</v>
      </c>
      <c r="Z157">
        <f t="shared" si="58"/>
        <v>9.7775978455817494E-3</v>
      </c>
      <c r="AA157">
        <f t="shared" si="59"/>
        <v>-0.17228342071239938</v>
      </c>
    </row>
    <row r="158" spans="25:27" x14ac:dyDescent="0.2">
      <c r="Y158">
        <v>0.74</v>
      </c>
      <c r="Z158">
        <f t="shared" si="58"/>
        <v>2.0120247216125868E-3</v>
      </c>
      <c r="AA158">
        <f t="shared" si="59"/>
        <v>-0.17681670727561657</v>
      </c>
    </row>
    <row r="159" spans="25:27" x14ac:dyDescent="0.2">
      <c r="Y159">
        <v>0.745</v>
      </c>
      <c r="Z159">
        <f t="shared" si="58"/>
        <v>-5.7585774163182498E-3</v>
      </c>
      <c r="AA159">
        <f t="shared" si="59"/>
        <v>-0.18090804415500572</v>
      </c>
    </row>
    <row r="160" spans="25:27" x14ac:dyDescent="0.2">
      <c r="Y160">
        <v>0.75</v>
      </c>
      <c r="Z160">
        <f t="shared" si="58"/>
        <v>-1.3514786109717434E-2</v>
      </c>
      <c r="AA160">
        <f t="shared" si="59"/>
        <v>-0.18454720513909545</v>
      </c>
    </row>
    <row r="161" spans="25:27" x14ac:dyDescent="0.2">
      <c r="Y161">
        <v>0.755</v>
      </c>
      <c r="Z161">
        <f t="shared" si="58"/>
        <v>-2.1237214876206872E-2</v>
      </c>
      <c r="AA161">
        <f t="shared" si="59"/>
        <v>-0.18772509422066391</v>
      </c>
    </row>
    <row r="162" spans="25:27" x14ac:dyDescent="0.2">
      <c r="Y162">
        <v>0.76</v>
      </c>
      <c r="Z162">
        <f t="shared" si="58"/>
        <v>-2.8906561665633494E-2</v>
      </c>
      <c r="AA162">
        <f t="shared" si="59"/>
        <v>-0.19043376833201991</v>
      </c>
    </row>
    <row r="163" spans="25:27" x14ac:dyDescent="0.2">
      <c r="Y163">
        <v>0.76500000000000001</v>
      </c>
      <c r="Z163">
        <f t="shared" si="58"/>
        <v>-3.6503657105142466E-2</v>
      </c>
      <c r="AA163">
        <f t="shared" si="59"/>
        <v>-0.19266645719853523</v>
      </c>
    </row>
    <row r="164" spans="25:27" x14ac:dyDescent="0.2">
      <c r="Y164">
        <v>0.77</v>
      </c>
      <c r="Z164">
        <f t="shared" si="58"/>
        <v>-4.4009512412625566E-2</v>
      </c>
      <c r="AA164">
        <f t="shared" si="59"/>
        <v>-0.19441758026080544</v>
      </c>
    </row>
    <row r="165" spans="25:27" x14ac:dyDescent="0.2">
      <c r="Y165">
        <v>0.77500000000000002</v>
      </c>
      <c r="Z165">
        <f t="shared" si="58"/>
        <v>-5.1405366858788097E-2</v>
      </c>
      <c r="AA165">
        <f t="shared" si="59"/>
        <v>-0.1956827606231421</v>
      </c>
    </row>
    <row r="166" spans="25:27" x14ac:dyDescent="0.2">
      <c r="Y166">
        <v>0.78</v>
      </c>
      <c r="Z166">
        <f t="shared" si="58"/>
        <v>-5.867273465920133E-2</v>
      </c>
      <c r="AA166">
        <f t="shared" si="59"/>
        <v>-0.19645883599353264</v>
      </c>
    </row>
    <row r="167" spans="25:27" x14ac:dyDescent="0.2">
      <c r="Y167">
        <v>0.78500000000000003</v>
      </c>
      <c r="Z167">
        <f t="shared" si="58"/>
        <v>-6.5793451179135959E-2</v>
      </c>
      <c r="AA167">
        <f t="shared" si="59"/>
        <v>-0.19674386658772328</v>
      </c>
    </row>
    <row r="168" spans="25:27" x14ac:dyDescent="0.2">
      <c r="Y168">
        <v>0.79</v>
      </c>
      <c r="Z168">
        <f t="shared" si="58"/>
        <v>-7.2749718335689731E-2</v>
      </c>
      <c r="AA168">
        <f t="shared" si="59"/>
        <v>-0.19653713997766958</v>
      </c>
    </row>
    <row r="169" spans="25:27" x14ac:dyDescent="0.2">
      <c r="Y169">
        <v>0.79500000000000004</v>
      </c>
      <c r="Z169">
        <f t="shared" si="58"/>
        <v>-7.9524149083725182E-2</v>
      </c>
      <c r="AA169">
        <f t="shared" si="59"/>
        <v>-0.1958391728722356</v>
      </c>
    </row>
    <row r="170" spans="25:27" x14ac:dyDescent="0.2">
      <c r="Y170">
        <v>0.8</v>
      </c>
      <c r="Z170">
        <f t="shared" si="58"/>
        <v>-8.6099810874427571E-2</v>
      </c>
      <c r="AA170">
        <f t="shared" si="59"/>
        <v>-0.19465170982569063</v>
      </c>
    </row>
    <row r="171" spans="25:27" x14ac:dyDescent="0.2">
      <c r="Y171">
        <v>0.80500000000000005</v>
      </c>
      <c r="Z171">
        <f t="shared" si="58"/>
        <v>-9.2460267977858682E-2</v>
      </c>
      <c r="AA171">
        <f t="shared" si="59"/>
        <v>-0.19297771887723222</v>
      </c>
    </row>
    <row r="172" spans="25:27" x14ac:dyDescent="0.2">
      <c r="Y172">
        <v>0.81</v>
      </c>
      <c r="Z172">
        <f t="shared" si="58"/>
        <v>-9.8589622563721863E-2</v>
      </c>
      <c r="AA172">
        <f t="shared" si="59"/>
        <v>-0.19082138413243391</v>
      </c>
    </row>
    <row r="173" spans="25:27" x14ac:dyDescent="0.2">
      <c r="Y173">
        <v>0.81499999999999995</v>
      </c>
      <c r="Z173">
        <f t="shared" si="58"/>
        <v>-0.10447255443765821</v>
      </c>
      <c r="AA173">
        <f t="shared" si="59"/>
        <v>-0.18818809530516048</v>
      </c>
    </row>
    <row r="174" spans="25:27" x14ac:dyDescent="0.2">
      <c r="Y174">
        <v>0.82</v>
      </c>
      <c r="Z174">
        <f t="shared" si="58"/>
        <v>-0.11009435933375539</v>
      </c>
      <c r="AA174">
        <f t="shared" si="59"/>
        <v>-0.18508443424608939</v>
      </c>
    </row>
    <row r="175" spans="25:27" x14ac:dyDescent="0.2">
      <c r="Y175">
        <v>0.82499999999999996</v>
      </c>
      <c r="Z175">
        <f t="shared" si="58"/>
        <v>-0.11544098566755215</v>
      </c>
      <c r="AA175">
        <f t="shared" si="59"/>
        <v>-0.18151815849151309</v>
      </c>
    </row>
    <row r="176" spans="25:27" x14ac:dyDescent="0.2">
      <c r="Y176">
        <v>0.83</v>
      </c>
      <c r="Z176">
        <f t="shared" si="58"/>
        <v>-0.12049906965768296</v>
      </c>
      <c r="AA176">
        <f t="shared" si="59"/>
        <v>-0.17749818187353766</v>
      </c>
    </row>
    <row r="177" spans="25:27" x14ac:dyDescent="0.2">
      <c r="Y177">
        <v>0.83499999999999996</v>
      </c>
      <c r="Z177">
        <f t="shared" si="58"/>
        <v>-0.12525596872837211</v>
      </c>
      <c r="AA177">
        <f t="shared" si="59"/>
        <v>-0.17303455224014441</v>
      </c>
    </row>
    <row r="178" spans="25:27" x14ac:dyDescent="0.2">
      <c r="Y178">
        <v>0.84</v>
      </c>
      <c r="Z178">
        <f t="shared" si="58"/>
        <v>-0.12969979310928781</v>
      </c>
      <c r="AA178">
        <f t="shared" si="59"/>
        <v>-0.16813842634080353</v>
      </c>
    </row>
    <row r="179" spans="25:27" x14ac:dyDescent="0.2">
      <c r="Y179">
        <v>0.84499999999999997</v>
      </c>
      <c r="Z179">
        <f t="shared" si="58"/>
        <v>-0.13381943555377665</v>
      </c>
      <c r="AA179">
        <f t="shared" si="59"/>
        <v>-0.16282204194041056</v>
      </c>
    </row>
    <row r="180" spans="25:27" x14ac:dyDescent="0.2">
      <c r="Y180">
        <v>0.85</v>
      </c>
      <c r="Z180">
        <f t="shared" si="58"/>
        <v>-0.13760459910119599</v>
      </c>
      <c r="AA180">
        <f t="shared" si="59"/>
        <v>-0.15709868723124659</v>
      </c>
    </row>
    <row r="181" spans="25:27" x14ac:dyDescent="0.2">
      <c r="Y181">
        <v>0.85499999999999998</v>
      </c>
      <c r="Z181">
        <f t="shared" si="58"/>
        <v>-0.1410458228139522</v>
      </c>
      <c r="AA181">
        <f t="shared" si="59"/>
        <v>-0.15098266761941923</v>
      </c>
    </row>
    <row r="182" spans="25:27" x14ac:dyDescent="0.2">
      <c r="Y182">
        <v>0.86</v>
      </c>
      <c r="Z182">
        <f t="shared" si="58"/>
        <v>-0.14413450542491799</v>
      </c>
      <c r="AA182">
        <f t="shared" si="59"/>
        <v>-0.14448926996879677</v>
      </c>
    </row>
    <row r="183" spans="25:27" x14ac:dyDescent="0.2">
      <c r="Y183">
        <v>0.86499999999999999</v>
      </c>
      <c r="Z183">
        <f t="shared" si="58"/>
        <v>-0.14686292683612093</v>
      </c>
      <c r="AA183">
        <f t="shared" si="59"/>
        <v>-0.13763472439180927</v>
      </c>
    </row>
    <row r="184" spans="25:27" x14ac:dyDescent="0.2">
      <c r="Y184">
        <v>0.87</v>
      </c>
      <c r="Z184">
        <f t="shared" si="58"/>
        <v>-0.14922426741496722</v>
      </c>
      <c r="AA184">
        <f t="shared" si="59"/>
        <v>-0.13043616368262134</v>
      </c>
    </row>
    <row r="185" spans="25:27" x14ac:dyDescent="0.2">
      <c r="Y185">
        <v>0.875</v>
      </c>
      <c r="Z185">
        <f t="shared" si="58"/>
        <v>-0.15121262503977231</v>
      </c>
      <c r="AA185">
        <f t="shared" si="59"/>
        <v>-0.12291158049406746</v>
      </c>
    </row>
    <row r="186" spans="25:27" x14ac:dyDescent="0.2">
      <c r="Y186">
        <v>0.88</v>
      </c>
      <c r="Z186">
        <f t="shared" si="58"/>
        <v>-0.15282302985199075</v>
      </c>
      <c r="AA186">
        <f t="shared" si="59"/>
        <v>-0.11507978236539211</v>
      </c>
    </row>
    <row r="187" spans="25:27" x14ac:dyDescent="0.2">
      <c r="Y187">
        <v>0.88500000000000001</v>
      </c>
      <c r="Z187">
        <f t="shared" si="58"/>
        <v>-0.15405145667827461</v>
      </c>
      <c r="AA187">
        <f t="shared" si="59"/>
        <v>-0.10696034471319564</v>
      </c>
    </row>
    <row r="188" spans="25:27" x14ac:dyDescent="0.2">
      <c r="Y188">
        <v>0.89</v>
      </c>
      <c r="Z188">
        <f t="shared" si="58"/>
        <v>-0.1548948350913105</v>
      </c>
      <c r="AA188">
        <f t="shared" si="59"/>
        <v>-9.8573561903086609E-2</v>
      </c>
    </row>
    <row r="189" spans="25:27" x14ac:dyDescent="0.2">
      <c r="Y189">
        <v>0.89500000000000002</v>
      </c>
      <c r="Z189">
        <f t="shared" si="58"/>
        <v>-0.15535105708428881</v>
      </c>
      <c r="AA189">
        <f t="shared" si="59"/>
        <v>-8.9940396524338828E-2</v>
      </c>
    </row>
    <row r="190" spans="25:27" x14ac:dyDescent="0.2">
      <c r="Y190">
        <v>0.9</v>
      </c>
      <c r="Z190">
        <f t="shared" si="58"/>
        <v>-0.15541898233982296</v>
      </c>
      <c r="AA190">
        <f t="shared" si="59"/>
        <v>-8.1082426994332907E-2</v>
      </c>
    </row>
    <row r="191" spans="25:27" x14ac:dyDescent="0.2">
      <c r="Y191">
        <v>0.90500000000000003</v>
      </c>
      <c r="Z191">
        <f t="shared" si="58"/>
        <v>-0.15509844108014884</v>
      </c>
      <c r="AA191">
        <f t="shared" si="59"/>
        <v>-7.2021793623752828E-2</v>
      </c>
    </row>
    <row r="192" spans="25:27" x14ac:dyDescent="0.2">
      <c r="Y192">
        <v>0.91</v>
      </c>
      <c r="Z192">
        <f t="shared" si="58"/>
        <v>-0.15439023449148107</v>
      </c>
      <c r="AA192">
        <f t="shared" si="59"/>
        <v>-6.2781143277338747E-2</v>
      </c>
    </row>
    <row r="193" spans="25:27" x14ac:dyDescent="0.2">
      <c r="Y193">
        <v>0.91500000000000004</v>
      </c>
      <c r="Z193">
        <f t="shared" si="58"/>
        <v>-0.15329613272146433</v>
      </c>
      <c r="AA193">
        <f t="shared" si="59"/>
        <v>-5.3383572768518343E-2</v>
      </c>
    </row>
    <row r="194" spans="25:27" x14ac:dyDescent="0.2">
      <c r="Y194">
        <v>0.92</v>
      </c>
      <c r="Z194">
        <f t="shared" si="58"/>
        <v>-0.15181887045472656</v>
      </c>
      <c r="AA194">
        <f t="shared" si="59"/>
        <v>-4.3852571129403904E-2</v>
      </c>
    </row>
    <row r="195" spans="25:27" x14ac:dyDescent="0.2">
      <c r="Y195">
        <v>0.92500000000000004</v>
      </c>
      <c r="Z195">
        <f t="shared" si="58"/>
        <v>-0.14996214007759132</v>
      </c>
      <c r="AA195">
        <f t="shared" si="59"/>
        <v>-3.4211960900443851E-2</v>
      </c>
    </row>
    <row r="196" spans="25:27" x14ac:dyDescent="0.2">
      <c r="Y196">
        <v>0.93</v>
      </c>
      <c r="Z196">
        <f t="shared" si="58"/>
        <v>-0.14773058244903484</v>
      </c>
      <c r="AA196">
        <f t="shared" si="59"/>
        <v>-2.4485838586477158E-2</v>
      </c>
    </row>
    <row r="197" spans="25:27" x14ac:dyDescent="0.2">
      <c r="Y197">
        <v>0.93500000000000005</v>
      </c>
      <c r="Z197">
        <f t="shared" si="58"/>
        <v>-0.1451297753009558</v>
      </c>
      <c r="AA197">
        <f t="shared" si="59"/>
        <v>-1.4698514428022492E-2</v>
      </c>
    </row>
    <row r="198" spans="25:27" x14ac:dyDescent="0.2">
      <c r="Y198">
        <v>0.94</v>
      </c>
      <c r="Z198">
        <f t="shared" si="58"/>
        <v>-0.1421662192967505</v>
      </c>
      <c r="AA198">
        <f t="shared" si="59"/>
        <v>-4.8744516383368037E-3</v>
      </c>
    </row>
    <row r="199" spans="25:27" x14ac:dyDescent="0.2">
      <c r="Y199">
        <v>0.94499999999999995</v>
      </c>
      <c r="Z199">
        <f t="shared" si="58"/>
        <v>-0.13884732178303882</v>
      </c>
      <c r="AA199">
        <f t="shared" si="59"/>
        <v>4.9617947418800828E-3</v>
      </c>
    </row>
    <row r="200" spans="25:27" x14ac:dyDescent="0.2">
      <c r="Y200">
        <v>0.95</v>
      </c>
      <c r="Z200">
        <f t="shared" si="58"/>
        <v>-0.13518137827515692</v>
      </c>
      <c r="AA200">
        <f t="shared" si="59"/>
        <v>1.4785639219295016E-2</v>
      </c>
    </row>
    <row r="201" spans="25:27" x14ac:dyDescent="0.2">
      <c r="Y201">
        <v>0.95499999999999996</v>
      </c>
      <c r="Z201">
        <f t="shared" si="58"/>
        <v>-0.13117755172268811</v>
      </c>
      <c r="AA201">
        <f t="shared" si="59"/>
        <v>2.4572527298873419E-2</v>
      </c>
    </row>
    <row r="202" spans="25:27" x14ac:dyDescent="0.2">
      <c r="Y202">
        <v>0.96</v>
      </c>
      <c r="Z202">
        <f t="shared" si="58"/>
        <v>-0.12684584960686074</v>
      </c>
      <c r="AA202">
        <f t="shared" si="59"/>
        <v>3.4297996857329816E-2</v>
      </c>
    </row>
    <row r="203" spans="25:27" x14ac:dyDescent="0.2">
      <c r="Y203">
        <v>0.96499999999999997</v>
      </c>
      <c r="Z203">
        <f t="shared" ref="Z203:Z266" si="60">$W$3*SIN($Q$3*Y203-$Z$3)</f>
        <v>-0.12219709892705768</v>
      </c>
      <c r="AA203">
        <f t="shared" ref="AA203:AA266" si="61">$U$3*SIN($Q$3*Y203)</f>
        <v>4.3937739285694354E-2</v>
      </c>
    </row>
    <row r="204" spans="25:27" x14ac:dyDescent="0.2">
      <c r="Y204">
        <v>0.97</v>
      </c>
      <c r="Z204">
        <f t="shared" si="60"/>
        <v>-0.11724291913895604</v>
      </c>
      <c r="AA204">
        <f t="shared" si="61"/>
        <v>5.3467660248176598E-2</v>
      </c>
    </row>
    <row r="205" spans="25:27" x14ac:dyDescent="0.2">
      <c r="Y205">
        <v>0.97499999999999998</v>
      </c>
      <c r="Z205">
        <f t="shared" si="60"/>
        <v>-0.11199569311193877</v>
      </c>
      <c r="AA205">
        <f t="shared" si="61"/>
        <v>6.2863939905457897E-2</v>
      </c>
    </row>
    <row r="206" spans="25:27" x14ac:dyDescent="0.2">
      <c r="Y206">
        <v>0.98</v>
      </c>
      <c r="Z206">
        <f t="shared" si="60"/>
        <v>-0.10646853617837108</v>
      </c>
      <c r="AA206">
        <f t="shared" si="61"/>
        <v>7.2103092451882567E-2</v>
      </c>
    </row>
    <row r="207" spans="25:27" x14ac:dyDescent="0.2">
      <c r="Y207">
        <v>0.98499999999999999</v>
      </c>
      <c r="Z207">
        <f t="shared" si="60"/>
        <v>-0.10067526335209946</v>
      </c>
      <c r="AA207">
        <f t="shared" si="61"/>
        <v>8.1162024817741873E-2</v>
      </c>
    </row>
    <row r="208" spans="25:27" x14ac:dyDescent="0.2">
      <c r="Y208">
        <v>0.99</v>
      </c>
      <c r="Z208">
        <f t="shared" si="60"/>
        <v>-9.4630354798110994E-2</v>
      </c>
      <c r="AA208">
        <f t="shared" si="61"/>
        <v>9.0018094389922559E-2</v>
      </c>
    </row>
    <row r="209" spans="25:27" x14ac:dyDescent="0.2">
      <c r="Y209">
        <v>0.995</v>
      </c>
      <c r="Z209">
        <f t="shared" si="60"/>
        <v>-8.8348919639663542E-2</v>
      </c>
      <c r="AA209">
        <f t="shared" si="61"/>
        <v>9.8649165606645425E-2</v>
      </c>
    </row>
    <row r="210" spans="25:27" x14ac:dyDescent="0.2">
      <c r="Y210">
        <v>1</v>
      </c>
      <c r="Z210">
        <f t="shared" si="60"/>
        <v>-8.1846658193344607E-2</v>
      </c>
      <c r="AA210">
        <f t="shared" si="61"/>
        <v>0.10703366528484429</v>
      </c>
    </row>
    <row r="211" spans="25:27" x14ac:dyDescent="0.2">
      <c r="Y211">
        <v>1.0049999999999999</v>
      </c>
      <c r="Z211">
        <f t="shared" si="60"/>
        <v>-7.5139822726458139E-2</v>
      </c>
      <c r="AA211">
        <f t="shared" si="61"/>
        <v>0.11515063654188605</v>
      </c>
    </row>
    <row r="212" spans="25:27" x14ac:dyDescent="0.2">
      <c r="Y212">
        <v>1.01</v>
      </c>
      <c r="Z212">
        <f t="shared" si="60"/>
        <v>-6.8245176834818497E-2</v>
      </c>
      <c r="AA212">
        <f t="shared" si="61"/>
        <v>0.12297979117686565</v>
      </c>
    </row>
    <row r="213" spans="25:27" x14ac:dyDescent="0.2">
      <c r="Y213">
        <v>1.0149999999999999</v>
      </c>
      <c r="Z213">
        <f t="shared" si="60"/>
        <v>-6.1179953542493087E-2</v>
      </c>
      <c r="AA213">
        <f t="shared" si="61"/>
        <v>0.13050156038053992</v>
      </c>
    </row>
    <row r="214" spans="25:27" x14ac:dyDescent="0.2">
      <c r="Y214">
        <v>1.02</v>
      </c>
      <c r="Z214">
        <f t="shared" si="60"/>
        <v>-5.396181222821507E-2</v>
      </c>
      <c r="AA214">
        <f t="shared" si="61"/>
        <v>0.13769714364716196</v>
      </c>
    </row>
    <row r="215" spans="25:27" x14ac:dyDescent="0.2">
      <c r="Y215">
        <v>1.0249999999999999</v>
      </c>
      <c r="Z215">
        <f t="shared" si="60"/>
        <v>-4.6608794486135058E-2</v>
      </c>
      <c r="AA215">
        <f t="shared" si="61"/>
        <v>0.14454855576595221</v>
      </c>
    </row>
    <row r="216" spans="25:27" x14ac:dyDescent="0.2">
      <c r="Y216">
        <v>1.03</v>
      </c>
      <c r="Z216">
        <f t="shared" si="60"/>
        <v>-3.9139279031230642E-2</v>
      </c>
      <c r="AA216">
        <f t="shared" si="61"/>
        <v>0.15103867177476019</v>
      </c>
    </row>
    <row r="217" spans="25:27" x14ac:dyDescent="0.2">
      <c r="Y217">
        <v>1.0349999999999999</v>
      </c>
      <c r="Z217">
        <f t="shared" si="60"/>
        <v>-3.15719357620909E-2</v>
      </c>
      <c r="AA217">
        <f t="shared" si="61"/>
        <v>0.15715126976355068</v>
      </c>
    </row>
    <row r="218" spans="25:27" x14ac:dyDescent="0.2">
      <c r="Y218">
        <v>1.04</v>
      </c>
      <c r="Z218">
        <f t="shared" si="60"/>
        <v>-2.3925679095891956E-2</v>
      </c>
      <c r="AA218">
        <f t="shared" si="61"/>
        <v>0.16287107142073171</v>
      </c>
    </row>
    <row r="219" spans="25:27" x14ac:dyDescent="0.2">
      <c r="Y219">
        <v>1.0449999999999999</v>
      </c>
      <c r="Z219">
        <f t="shared" si="60"/>
        <v>-1.6219620692206355E-2</v>
      </c>
      <c r="AA219">
        <f t="shared" si="61"/>
        <v>0.16818378022097499</v>
      </c>
    </row>
    <row r="220" spans="25:27" x14ac:dyDescent="0.2">
      <c r="Y220">
        <v>1.05</v>
      </c>
      <c r="Z220">
        <f t="shared" si="60"/>
        <v>-8.4730216838051296E-3</v>
      </c>
      <c r="AA220">
        <f t="shared" si="61"/>
        <v>0.17307611715908558</v>
      </c>
    </row>
    <row r="221" spans="25:27" x14ac:dyDescent="0.2">
      <c r="Y221">
        <v>1.0549999999999999</v>
      </c>
      <c r="Z221">
        <f t="shared" si="60"/>
        <v>-7.0524453385905879E-4</v>
      </c>
      <c r="AA221">
        <f t="shared" si="61"/>
        <v>0.17753585394059768</v>
      </c>
    </row>
    <row r="222" spans="25:27" x14ac:dyDescent="0.2">
      <c r="Y222">
        <v>1.06</v>
      </c>
      <c r="Z222">
        <f t="shared" si="60"/>
        <v>7.0642953601379593E-3</v>
      </c>
      <c r="AA222">
        <f t="shared" si="61"/>
        <v>0.18155184354614393</v>
      </c>
    </row>
    <row r="223" spans="25:27" x14ac:dyDescent="0.2">
      <c r="Y223">
        <v>1.0649999999999999</v>
      </c>
      <c r="Z223">
        <f t="shared" si="60"/>
        <v>1.4816178194747709E-2</v>
      </c>
      <c r="AA223">
        <f t="shared" si="61"/>
        <v>0.18511404809319679</v>
      </c>
    </row>
    <row r="224" spans="25:27" x14ac:dyDescent="0.2">
      <c r="Y224">
        <v>1.07</v>
      </c>
      <c r="Z224">
        <f t="shared" si="60"/>
        <v>2.2531028299987859E-2</v>
      </c>
      <c r="AA224">
        <f t="shared" si="61"/>
        <v>0.18821356392554961</v>
      </c>
    </row>
    <row r="225" spans="25:27" x14ac:dyDescent="0.2">
      <c r="Y225">
        <v>1.075</v>
      </c>
      <c r="Z225">
        <f t="shared" si="60"/>
        <v>3.0189562568410194E-2</v>
      </c>
      <c r="AA225">
        <f t="shared" si="61"/>
        <v>0.1908426438678176</v>
      </c>
    </row>
    <row r="226" spans="25:27" x14ac:dyDescent="0.2">
      <c r="Y226">
        <v>1.08</v>
      </c>
      <c r="Z226">
        <f t="shared" si="60"/>
        <v>3.7772638652832029E-2</v>
      </c>
      <c r="AA226">
        <f t="shared" si="61"/>
        <v>0.19299471658934375</v>
      </c>
    </row>
    <row r="227" spans="25:27" x14ac:dyDescent="0.2">
      <c r="Y227">
        <v>1.085</v>
      </c>
      <c r="Z227">
        <f t="shared" si="60"/>
        <v>4.5261302812231445E-2</v>
      </c>
      <c r="AA227">
        <f t="shared" si="61"/>
        <v>0.19466440302910187</v>
      </c>
    </row>
    <row r="228" spans="25:27" x14ac:dyDescent="0.2">
      <c r="Y228">
        <v>1.0900000000000001</v>
      </c>
      <c r="Z228">
        <f t="shared" si="60"/>
        <v>5.2636837286231399E-2</v>
      </c>
      <c r="AA228">
        <f t="shared" si="61"/>
        <v>0.19584752984054865</v>
      </c>
    </row>
    <row r="229" spans="25:27" x14ac:dyDescent="0.2">
      <c r="Y229">
        <v>1.095</v>
      </c>
      <c r="Z229">
        <f t="shared" si="60"/>
        <v>5.9880807079750437E-2</v>
      </c>
      <c r="AA229">
        <f t="shared" si="61"/>
        <v>0.19654113982281585</v>
      </c>
    </row>
    <row r="230" spans="25:27" x14ac:dyDescent="0.2">
      <c r="Y230">
        <v>1.1000000000000001</v>
      </c>
      <c r="Z230">
        <f t="shared" si="60"/>
        <v>6.6975106040891838E-2</v>
      </c>
      <c r="AA230">
        <f t="shared" si="61"/>
        <v>0.19674349931217297</v>
      </c>
    </row>
    <row r="231" spans="25:27" x14ac:dyDescent="0.2">
      <c r="Y231">
        <v>1.105</v>
      </c>
      <c r="Z231">
        <f t="shared" si="60"/>
        <v>7.3902002116891963E-2</v>
      </c>
      <c r="AA231">
        <f t="shared" si="61"/>
        <v>0.19645410251528336</v>
      </c>
    </row>
    <row r="232" spans="25:27" x14ac:dyDescent="0.2">
      <c r="Y232">
        <v>1.1100000000000001</v>
      </c>
      <c r="Z232">
        <f t="shared" si="60"/>
        <v>8.0644181675018523E-2</v>
      </c>
      <c r="AA232">
        <f t="shared" si="61"/>
        <v>0.19567367277342435</v>
      </c>
    </row>
    <row r="233" spans="25:27" x14ac:dyDescent="0.2">
      <c r="Y233">
        <v>1.115</v>
      </c>
      <c r="Z233">
        <f t="shared" si="60"/>
        <v>8.7184792777635273E-2</v>
      </c>
      <c r="AA233">
        <f t="shared" si="61"/>
        <v>0.19440416075451061</v>
      </c>
    </row>
    <row r="234" spans="25:27" x14ac:dyDescent="0.2">
      <c r="Y234">
        <v>1.1200000000000001</v>
      </c>
      <c r="Z234">
        <f t="shared" si="60"/>
        <v>9.3507487303270478E-2</v>
      </c>
      <c r="AA234">
        <f t="shared" si="61"/>
        <v>0.1926487395774403</v>
      </c>
    </row>
    <row r="235" spans="25:27" x14ac:dyDescent="0.2">
      <c r="Y235">
        <v>1.125</v>
      </c>
      <c r="Z235">
        <f t="shared" si="60"/>
        <v>9.9596461808405298E-2</v>
      </c>
      <c r="AA235">
        <f t="shared" si="61"/>
        <v>0.19041179688095058</v>
      </c>
    </row>
    <row r="236" spans="25:27" x14ac:dyDescent="0.2">
      <c r="Y236">
        <v>1.1299999999999999</v>
      </c>
      <c r="Z236">
        <f t="shared" si="60"/>
        <v>0.10543649702785374</v>
      </c>
      <c r="AA236">
        <f t="shared" si="61"/>
        <v>0.18769892385680531</v>
      </c>
    </row>
    <row r="237" spans="25:27" x14ac:dyDescent="0.2">
      <c r="Y237">
        <v>1.135</v>
      </c>
      <c r="Z237">
        <f t="shared" si="60"/>
        <v>0.11101299591499893</v>
      </c>
      <c r="AA237">
        <f t="shared" si="61"/>
        <v>0.18451690127472783</v>
      </c>
    </row>
    <row r="238" spans="25:27" x14ac:dyDescent="0.2">
      <c r="Y238">
        <v>1.1399999999999999</v>
      </c>
      <c r="Z238">
        <f t="shared" si="60"/>
        <v>0.11631202012680705</v>
      </c>
      <c r="AA238">
        <f t="shared" si="61"/>
        <v>0.18087368253400821</v>
      </c>
    </row>
    <row r="239" spans="25:27" x14ac:dyDescent="0.2">
      <c r="Y239">
        <v>1.145</v>
      </c>
      <c r="Z239">
        <f t="shared" si="60"/>
        <v>0.12132032486242746</v>
      </c>
      <c r="AA239">
        <f t="shared" si="61"/>
        <v>0.17677837378414638</v>
      </c>
    </row>
    <row r="240" spans="25:27" x14ac:dyDescent="0.2">
      <c r="Y240">
        <v>1.1499999999999999</v>
      </c>
      <c r="Z240">
        <f t="shared" si="60"/>
        <v>0.1260253919682956</v>
      </c>
      <c r="AA240">
        <f t="shared" si="61"/>
        <v>0.17224121116422147</v>
      </c>
    </row>
    <row r="241" spans="25:27" x14ac:dyDescent="0.2">
      <c r="Y241">
        <v>1.155</v>
      </c>
      <c r="Z241">
        <f t="shared" si="60"/>
        <v>0.13041546122699837</v>
      </c>
      <c r="AA241">
        <f t="shared" si="61"/>
        <v>0.16727353521787477</v>
      </c>
    </row>
    <row r="242" spans="25:27" x14ac:dyDescent="0.2">
      <c r="Y242">
        <v>1.1599999999999999</v>
      </c>
      <c r="Z242">
        <f t="shared" si="60"/>
        <v>0.13447955975169273</v>
      </c>
      <c r="AA242">
        <f t="shared" si="61"/>
        <v>0.16188776254785667</v>
      </c>
    </row>
    <row r="243" spans="25:27" x14ac:dyDescent="0.2">
      <c r="Y243">
        <v>1.165</v>
      </c>
      <c r="Z243">
        <f t="shared" si="60"/>
        <v>0.13820752941260886</v>
      </c>
      <c r="AA243">
        <f t="shared" si="61"/>
        <v>0.15609735478098563</v>
      </c>
    </row>
    <row r="244" spans="25:27" x14ac:dyDescent="0.2">
      <c r="Y244">
        <v>1.17</v>
      </c>
      <c r="Z244">
        <f t="shared" si="60"/>
        <v>0.14159005222708324</v>
      </c>
      <c r="AA244">
        <f t="shared" si="61"/>
        <v>0.14991678492109325</v>
      </c>
    </row>
    <row r="245" spans="25:27" x14ac:dyDescent="0.2">
      <c r="Y245">
        <v>1.175</v>
      </c>
      <c r="Z245">
        <f t="shared" si="60"/>
        <v>0.14461867364966377</v>
      </c>
      <c r="AA245">
        <f t="shared" si="61"/>
        <v>0.14336150117405019</v>
      </c>
    </row>
    <row r="246" spans="25:27" x14ac:dyDescent="0.2">
      <c r="Y246">
        <v>1.18</v>
      </c>
      <c r="Z246">
        <f t="shared" si="60"/>
        <v>0.14728582370406934</v>
      </c>
      <c r="AA246">
        <f t="shared" si="61"/>
        <v>0.13644788833529875</v>
      </c>
    </row>
    <row r="247" spans="25:27" x14ac:dyDescent="0.2">
      <c r="Y247">
        <v>1.1850000000000001</v>
      </c>
      <c r="Z247">
        <f t="shared" si="60"/>
        <v>0.14958483590418908</v>
      </c>
      <c r="AA247">
        <f t="shared" si="61"/>
        <v>0.12919322683639514</v>
      </c>
    </row>
    <row r="248" spans="25:27" x14ac:dyDescent="0.2">
      <c r="Y248">
        <v>1.19</v>
      </c>
      <c r="Z248">
        <f t="shared" si="60"/>
        <v>0.15150996391682472</v>
      </c>
      <c r="AA248">
        <f t="shared" si="61"/>
        <v>0.12161564955293318</v>
      </c>
    </row>
    <row r="249" spans="25:27" x14ac:dyDescent="0.2">
      <c r="Y249">
        <v>1.1950000000000001</v>
      </c>
      <c r="Z249">
        <f t="shared" si="60"/>
        <v>0.15305639592453238</v>
      </c>
      <c r="AA249">
        <f t="shared" si="61"/>
        <v>0.113734096481794</v>
      </c>
    </row>
    <row r="250" spans="25:27" x14ac:dyDescent="0.2">
      <c r="Y250">
        <v>1.2</v>
      </c>
      <c r="Z250">
        <f t="shared" si="60"/>
        <v>0.15422026665265867</v>
      </c>
      <c r="AA250">
        <f t="shared" si="61"/>
        <v>0.10556826740102333</v>
      </c>
    </row>
    <row r="251" spans="25:27" x14ac:dyDescent="0.2">
      <c r="Y251">
        <v>1.2050000000000001</v>
      </c>
      <c r="Z251">
        <f t="shared" si="60"/>
        <v>0.15499866703051562</v>
      </c>
      <c r="AA251">
        <f t="shared" si="61"/>
        <v>9.7138572630640671E-2</v>
      </c>
    </row>
    <row r="252" spans="25:27" x14ac:dyDescent="0.2">
      <c r="Y252">
        <v>1.21</v>
      </c>
      <c r="Z252">
        <f t="shared" si="60"/>
        <v>0.15538965146254163</v>
      </c>
      <c r="AA252">
        <f t="shared" si="61"/>
        <v>8.8466082017472386E-2</v>
      </c>
    </row>
    <row r="253" spans="25:27" x14ac:dyDescent="0.2">
      <c r="Y253">
        <v>1.2150000000000001</v>
      </c>
      <c r="Z253">
        <f t="shared" si="60"/>
        <v>0.15539224269127735</v>
      </c>
      <c r="AA253">
        <f t="shared" si="61"/>
        <v>7.957247227150499E-2</v>
      </c>
    </row>
    <row r="254" spans="25:27" x14ac:dyDescent="0.2">
      <c r="Y254">
        <v>1.22</v>
      </c>
      <c r="Z254">
        <f t="shared" si="60"/>
        <v>0.15500643424000049</v>
      </c>
      <c r="AA254">
        <f t="shared" si="61"/>
        <v>7.0479972785401621E-2</v>
      </c>
    </row>
    <row r="255" spans="25:27" x14ac:dyDescent="0.2">
      <c r="Y255">
        <v>1.2250000000000001</v>
      </c>
      <c r="Z255">
        <f t="shared" si="60"/>
        <v>0.15423319042891404</v>
      </c>
      <c r="AA255">
        <f t="shared" si="61"/>
        <v>6.1211310072594685E-2</v>
      </c>
    </row>
    <row r="256" spans="25:27" x14ac:dyDescent="0.2">
      <c r="Y256">
        <v>1.23</v>
      </c>
      <c r="Z256">
        <f t="shared" si="60"/>
        <v>0.15307444396484812</v>
      </c>
      <c r="AA256">
        <f t="shared" si="61"/>
        <v>5.17896509628403E-2</v>
      </c>
    </row>
    <row r="257" spans="25:27" x14ac:dyDescent="0.2">
      <c r="Y257">
        <v>1.2350000000000001</v>
      </c>
      <c r="Z257">
        <f t="shared" si="60"/>
        <v>0.15153309111049942</v>
      </c>
      <c r="AA257">
        <f t="shared" si="61"/>
        <v>4.2238544697207656E-2</v>
      </c>
    </row>
    <row r="258" spans="25:27" x14ac:dyDescent="0.2">
      <c r="Y258">
        <v>1.24</v>
      </c>
      <c r="Z258">
        <f t="shared" si="60"/>
        <v>0.14961298444528282</v>
      </c>
      <c r="AA258">
        <f t="shared" si="61"/>
        <v>3.2581864067241159E-2</v>
      </c>
    </row>
    <row r="259" spans="25:27" x14ac:dyDescent="0.2">
      <c r="Y259">
        <v>1.2450000000000001</v>
      </c>
      <c r="Z259">
        <f t="shared" si="60"/>
        <v>0.14731892323588899</v>
      </c>
      <c r="AA259">
        <f t="shared" si="61"/>
        <v>2.2843745745413008E-2</v>
      </c>
    </row>
    <row r="260" spans="25:27" x14ac:dyDescent="0.2">
      <c r="Y260">
        <v>1.25</v>
      </c>
      <c r="Z260">
        <f t="shared" si="60"/>
        <v>0.14465664144061763</v>
      </c>
      <c r="AA260">
        <f t="shared" si="61"/>
        <v>1.3048529956014476E-2</v>
      </c>
    </row>
    <row r="261" spans="25:27" x14ac:dyDescent="0.2">
      <c r="Y261">
        <v>1.2549999999999999</v>
      </c>
      <c r="Z261">
        <f t="shared" si="60"/>
        <v>0.14163279337746726</v>
      </c>
      <c r="AA261">
        <f t="shared" si="61"/>
        <v>3.2206996372689456E-3</v>
      </c>
    </row>
    <row r="262" spans="25:27" x14ac:dyDescent="0.2">
      <c r="Y262">
        <v>1.26</v>
      </c>
      <c r="Z262">
        <f t="shared" si="60"/>
        <v>0.13825493709180603</v>
      </c>
      <c r="AA262">
        <f t="shared" si="61"/>
        <v>-6.615180753262161E-3</v>
      </c>
    </row>
    <row r="263" spans="25:27" x14ac:dyDescent="0.2">
      <c r="Y263">
        <v>1.2649999999999999</v>
      </c>
      <c r="Z263">
        <f t="shared" si="60"/>
        <v>0.13453151546519476</v>
      </c>
      <c r="AA263">
        <f t="shared" si="61"/>
        <v>-1.6434526637029299E-2</v>
      </c>
    </row>
    <row r="264" spans="25:27" x14ac:dyDescent="0.2">
      <c r="Y264">
        <v>1.27</v>
      </c>
      <c r="Z264">
        <f t="shared" si="60"/>
        <v>0.13047183511257923</v>
      </c>
      <c r="AA264">
        <f t="shared" si="61"/>
        <v>-2.6212794763140233E-2</v>
      </c>
    </row>
    <row r="265" spans="25:27" x14ac:dyDescent="0.2">
      <c r="Y265">
        <v>1.2749999999999999</v>
      </c>
      <c r="Z265">
        <f t="shared" si="60"/>
        <v>0.12608604312060043</v>
      </c>
      <c r="AA265">
        <f t="shared" si="61"/>
        <v>-3.5925544553702927E-2</v>
      </c>
    </row>
    <row r="266" spans="25:27" x14ac:dyDescent="0.2">
      <c r="Y266">
        <v>1.28</v>
      </c>
      <c r="Z266">
        <f t="shared" si="60"/>
        <v>0.12138510168516202</v>
      </c>
      <c r="AA266">
        <f t="shared" si="61"/>
        <v>-4.5548499192543286E-2</v>
      </c>
    </row>
    <row r="267" spans="25:27" x14ac:dyDescent="0.2">
      <c r="Y267">
        <v>1.2849999999999999</v>
      </c>
      <c r="Z267">
        <f t="shared" ref="Z267:Z330" si="62">$W$3*SIN($Q$3*Y267-$Z$3)</f>
        <v>0.11638076071164979</v>
      </c>
      <c r="AA267">
        <f t="shared" ref="AA267:AA330" si="63">$U$3*SIN($Q$3*Y267)</f>
        <v>-5.5057606304601762E-2</v>
      </c>
    </row>
    <row r="268" spans="25:27" x14ac:dyDescent="0.2">
      <c r="Y268">
        <v>1.29</v>
      </c>
      <c r="Z268">
        <f t="shared" si="62"/>
        <v>0.11108552844628676</v>
      </c>
      <c r="AA268">
        <f t="shared" si="63"/>
        <v>-6.4429098074346144E-2</v>
      </c>
    </row>
    <row r="269" spans="25:27" x14ac:dyDescent="0.2">
      <c r="Y269">
        <v>1.2949999999999999</v>
      </c>
      <c r="Z269">
        <f t="shared" si="62"/>
        <v>0.10551264021203308</v>
      </c>
      <c r="AA269">
        <f t="shared" si="63"/>
        <v>-7.3639550652929972E-2</v>
      </c>
    </row>
    <row r="270" spans="25:27" x14ac:dyDescent="0.2">
      <c r="Y270">
        <v>1.3</v>
      </c>
      <c r="Z270">
        <f t="shared" si="62"/>
        <v>9.9676025327169876E-2</v>
      </c>
      <c r="AA270">
        <f t="shared" si="63"/>
        <v>-8.2665942705618417E-2</v>
      </c>
    </row>
    <row r="271" spans="25:27" x14ac:dyDescent="0.2">
      <c r="Y271">
        <v>1.3049999999999999</v>
      </c>
      <c r="Z271">
        <f t="shared" si="62"/>
        <v>9.359027228925948E-2</v>
      </c>
      <c r="AA271">
        <f t="shared" si="63"/>
        <v>-9.1485712953133222E-2</v>
      </c>
    </row>
    <row r="272" spans="25:27" x14ac:dyDescent="0.2">
      <c r="Y272">
        <v>1.31</v>
      </c>
      <c r="Z272">
        <f t="shared" si="62"/>
        <v>8.7270592311497058E-2</v>
      </c>
      <c r="AA272">
        <f t="shared" si="63"/>
        <v>-0.10007681656310408</v>
      </c>
    </row>
    <row r="273" spans="25:27" x14ac:dyDescent="0.2">
      <c r="Y273">
        <v>1.3149999999999999</v>
      </c>
      <c r="Z273">
        <f t="shared" si="62"/>
        <v>8.0732781302602447E-2</v>
      </c>
      <c r="AA273">
        <f t="shared" si="63"/>
        <v>-0.1084177802506648</v>
      </c>
    </row>
    <row r="274" spans="25:27" x14ac:dyDescent="0.2">
      <c r="Y274">
        <v>1.32</v>
      </c>
      <c r="Z274">
        <f t="shared" si="62"/>
        <v>7.3993180385270377E-2</v>
      </c>
      <c r="AA274">
        <f t="shared" si="63"/>
        <v>-0.11648775595048821</v>
      </c>
    </row>
    <row r="275" spans="25:27" x14ac:dyDescent="0.2">
      <c r="Y275">
        <v>1.325</v>
      </c>
      <c r="Z275">
        <f t="shared" si="62"/>
        <v>6.7068635051879016E-2</v>
      </c>
      <c r="AA275">
        <f t="shared" si="63"/>
        <v>-0.12426657292608538</v>
      </c>
    </row>
    <row r="276" spans="25:27" x14ac:dyDescent="0.2">
      <c r="Y276">
        <v>1.33</v>
      </c>
      <c r="Z276">
        <f t="shared" si="62"/>
        <v>5.9976453059527639E-2</v>
      </c>
      <c r="AA276">
        <f t="shared" si="63"/>
        <v>-0.13173478818614773</v>
      </c>
    </row>
    <row r="277" spans="25:27" x14ac:dyDescent="0.2">
      <c r="Y277">
        <v>1.335</v>
      </c>
      <c r="Z277">
        <f t="shared" si="62"/>
        <v>5.2734361169660633E-2</v>
      </c>
      <c r="AA277">
        <f t="shared" si="63"/>
        <v>-0.1388737350818959</v>
      </c>
    </row>
    <row r="278" spans="25:27" x14ac:dyDescent="0.2">
      <c r="Y278">
        <v>1.34</v>
      </c>
      <c r="Z278">
        <f t="shared" si="62"/>
        <v>4.5360460840393607E-2</v>
      </c>
      <c r="AA278">
        <f t="shared" si="63"/>
        <v>-0.14566556996398272</v>
      </c>
    </row>
    <row r="279" spans="25:27" x14ac:dyDescent="0.2">
      <c r="Y279">
        <v>1.345</v>
      </c>
      <c r="Z279">
        <f t="shared" si="62"/>
        <v>3.7873182982297207E-2</v>
      </c>
      <c r="AA279">
        <f t="shared" si="63"/>
        <v>-0.15209331678232169</v>
      </c>
    </row>
    <row r="280" spans="25:27" x14ac:dyDescent="0.2">
      <c r="Y280">
        <v>1.35</v>
      </c>
      <c r="Z280">
        <f t="shared" si="62"/>
        <v>3.0291241890717198E-2</v>
      </c>
      <c r="AA280">
        <f t="shared" si="63"/>
        <v>-0.15814090951737325</v>
      </c>
    </row>
    <row r="281" spans="25:27" x14ac:dyDescent="0.2">
      <c r="Y281">
        <v>1.355</v>
      </c>
      <c r="Z281">
        <f t="shared" si="62"/>
        <v>2.2633588469784222E-2</v>
      </c>
      <c r="AA281">
        <f t="shared" si="63"/>
        <v>-0.16379323233682494</v>
      </c>
    </row>
    <row r="282" spans="25:27" x14ac:dyDescent="0.2">
      <c r="Y282">
        <v>1.36</v>
      </c>
      <c r="Z282">
        <f t="shared" si="62"/>
        <v>1.4919362865021789E-2</v>
      </c>
      <c r="AA282">
        <f t="shared" si="63"/>
        <v>-0.16903615737730102</v>
      </c>
    </row>
    <row r="283" spans="25:27" x14ac:dyDescent="0.2">
      <c r="Y283">
        <v>1.365</v>
      </c>
      <c r="Z283">
        <f t="shared" si="62"/>
        <v>7.1678466229510582E-3</v>
      </c>
      <c r="AA283">
        <f t="shared" si="63"/>
        <v>-0.1738565800566626</v>
      </c>
    </row>
    <row r="284" spans="25:27" x14ac:dyDescent="0.2">
      <c r="Y284">
        <v>1.37</v>
      </c>
      <c r="Z284">
        <f t="shared" si="62"/>
        <v>-6.0158550273496821E-4</v>
      </c>
      <c r="AA284">
        <f t="shared" si="63"/>
        <v>-0.17824245182863932</v>
      </c>
    </row>
    <row r="285" spans="25:27" x14ac:dyDescent="0.2">
      <c r="Y285">
        <v>1.375</v>
      </c>
      <c r="Z285">
        <f t="shared" si="62"/>
        <v>-8.3695139779635542E-3</v>
      </c>
      <c r="AA285">
        <f t="shared" si="63"/>
        <v>-0.18218281029791875</v>
      </c>
    </row>
    <row r="286" spans="25:27" x14ac:dyDescent="0.2">
      <c r="Y286">
        <v>1.38</v>
      </c>
      <c r="Z286">
        <f t="shared" si="62"/>
        <v>-1.611652302700585E-2</v>
      </c>
      <c r="AA286">
        <f t="shared" si="63"/>
        <v>-0.18566780662042687</v>
      </c>
    </row>
    <row r="287" spans="25:27" x14ac:dyDescent="0.2">
      <c r="Y287">
        <v>1.385</v>
      </c>
      <c r="Z287">
        <f t="shared" si="62"/>
        <v>-2.3823249161803849E-2</v>
      </c>
      <c r="AA287">
        <f t="shared" si="63"/>
        <v>-0.18868873012030851</v>
      </c>
    </row>
    <row r="288" spans="25:27" x14ac:dyDescent="0.2">
      <c r="Y288">
        <v>1.39</v>
      </c>
      <c r="Z288">
        <f t="shared" si="62"/>
        <v>-3.1470429580605384E-2</v>
      </c>
      <c r="AA288">
        <f t="shared" si="63"/>
        <v>-0.19123803006208032</v>
      </c>
    </row>
    <row r="289" spans="25:27" x14ac:dyDescent="0.2">
      <c r="Y289">
        <v>1.395</v>
      </c>
      <c r="Z289">
        <f t="shared" si="62"/>
        <v>-3.9038950314938578E-2</v>
      </c>
      <c r="AA289">
        <f t="shared" si="63"/>
        <v>-0.19330933452353777</v>
      </c>
    </row>
    <row r="290" spans="25:27" x14ac:dyDescent="0.2">
      <c r="Y290">
        <v>1.4</v>
      </c>
      <c r="Z290">
        <f t="shared" si="62"/>
        <v>-4.6509894004576717E-2</v>
      </c>
      <c r="AA290">
        <f t="shared" si="63"/>
        <v>-0.19489746632224164</v>
      </c>
    </row>
    <row r="291" spans="25:27" x14ac:dyDescent="0.2">
      <c r="Y291">
        <v>1.405</v>
      </c>
      <c r="Z291">
        <f t="shared" si="62"/>
        <v>-5.3864587181087976E-2</v>
      </c>
      <c r="AA291">
        <f t="shared" si="63"/>
        <v>-0.19599845595577822</v>
      </c>
    </row>
    <row r="292" spans="25:27" x14ac:dyDescent="0.2">
      <c r="Y292">
        <v>1.41</v>
      </c>
      <c r="Z292">
        <f t="shared" si="62"/>
        <v>-6.1084646941780972E-2</v>
      </c>
      <c r="AA292">
        <f t="shared" si="63"/>
        <v>-0.19660955152344797</v>
      </c>
    </row>
    <row r="293" spans="25:27" x14ac:dyDescent="0.2">
      <c r="Y293">
        <v>1.415</v>
      </c>
      <c r="Z293">
        <f t="shared" si="62"/>
        <v>-6.8152026897388931E-2</v>
      </c>
      <c r="AA293">
        <f t="shared" si="63"/>
        <v>-0.19672922560458422</v>
      </c>
    </row>
    <row r="294" spans="25:27" x14ac:dyDescent="0.2">
      <c r="Y294">
        <v>1.42</v>
      </c>
      <c r="Z294">
        <f t="shared" si="62"/>
        <v>-7.5049062278642664E-2</v>
      </c>
      <c r="AA294">
        <f t="shared" si="63"/>
        <v>-0.19635717907630909</v>
      </c>
    </row>
    <row r="295" spans="25:27" x14ac:dyDescent="0.2">
      <c r="Y295">
        <v>1.425</v>
      </c>
      <c r="Z295">
        <f t="shared" si="62"/>
        <v>-8.1758514088996107E-2</v>
      </c>
      <c r="AA295">
        <f t="shared" si="63"/>
        <v>-0.19549434186118525</v>
      </c>
    </row>
    <row r="296" spans="25:27" x14ac:dyDescent="0.2">
      <c r="Y296">
        <v>1.43</v>
      </c>
      <c r="Z296">
        <f t="shared" si="62"/>
        <v>-8.8263612193137858E-2</v>
      </c>
      <c r="AA296">
        <f t="shared" si="63"/>
        <v>-0.19414287060289356</v>
      </c>
    </row>
    <row r="297" spans="25:27" x14ac:dyDescent="0.2">
      <c r="Y297">
        <v>1.4350000000000001</v>
      </c>
      <c r="Z297">
        <f t="shared" si="62"/>
        <v>-9.4548097233597833E-2</v>
      </c>
      <c r="AA297">
        <f t="shared" si="63"/>
        <v>-0.19230614327574699</v>
      </c>
    </row>
    <row r="298" spans="25:27" x14ac:dyDescent="0.2">
      <c r="Y298">
        <v>1.44</v>
      </c>
      <c r="Z298">
        <f t="shared" si="62"/>
        <v>-0.10059626127067035</v>
      </c>
      <c r="AA298">
        <f t="shared" si="63"/>
        <v>-0.18998875074151464</v>
      </c>
    </row>
    <row r="299" spans="25:27" x14ac:dyDescent="0.2">
      <c r="Y299">
        <v>1.4450000000000001</v>
      </c>
      <c r="Z299">
        <f t="shared" si="62"/>
        <v>-0.10639298704408694</v>
      </c>
      <c r="AA299">
        <f t="shared" si="63"/>
        <v>-0.1871964852746569</v>
      </c>
    </row>
    <row r="300" spans="25:27" x14ac:dyDescent="0.2">
      <c r="Y300">
        <v>1.45</v>
      </c>
      <c r="Z300">
        <f t="shared" si="62"/>
        <v>-0.11192378575828944</v>
      </c>
      <c r="AA300">
        <f t="shared" si="63"/>
        <v>-0.18393632608465768</v>
      </c>
    </row>
    <row r="301" spans="25:27" x14ac:dyDescent="0.2">
      <c r="Y301">
        <v>1.4550000000000001</v>
      </c>
      <c r="Z301">
        <f t="shared" si="62"/>
        <v>-0.11717483329687725</v>
      </c>
      <c r="AA301">
        <f t="shared" si="63"/>
        <v>-0.18021642187163353</v>
      </c>
    </row>
    <row r="302" spans="25:27" x14ac:dyDescent="0.2">
      <c r="Y302">
        <v>1.46</v>
      </c>
      <c r="Z302">
        <f t="shared" si="62"/>
        <v>-0.12213300477569621</v>
      </c>
      <c r="AA302">
        <f t="shared" si="63"/>
        <v>-0.17604607045882861</v>
      </c>
    </row>
    <row r="303" spans="25:27" x14ac:dyDescent="0.2">
      <c r="Y303">
        <v>1.4650000000000001</v>
      </c>
      <c r="Z303">
        <f t="shared" si="62"/>
        <v>-0.1267859073482154</v>
      </c>
      <c r="AA303">
        <f t="shared" si="63"/>
        <v>-0.17143569555289762</v>
      </c>
    </row>
    <row r="304" spans="25:27" x14ac:dyDescent="0.2">
      <c r="Y304">
        <v>1.47</v>
      </c>
      <c r="Z304">
        <f t="shared" si="62"/>
        <v>-0.13112191118118802</v>
      </c>
      <c r="AA304">
        <f t="shared" si="63"/>
        <v>-0.16639682069006889</v>
      </c>
    </row>
    <row r="305" spans="25:27" x14ac:dyDescent="0.2">
      <c r="Y305">
        <v>1.4750000000000001</v>
      </c>
      <c r="Z305">
        <f t="shared" si="62"/>
        <v>-0.1351301785231791</v>
      </c>
      <c r="AA305">
        <f t="shared" si="63"/>
        <v>-0.16094204043330379</v>
      </c>
    </row>
    <row r="306" spans="25:27" x14ac:dyDescent="0.2">
      <c r="Y306">
        <v>1.48</v>
      </c>
      <c r="Z306">
        <f t="shared" si="62"/>
        <v>-0.13880069079329879</v>
      </c>
      <c r="AA306">
        <f t="shared" si="63"/>
        <v>-0.15508498889244982</v>
      </c>
    </row>
    <row r="307" spans="25:27" x14ac:dyDescent="0.2">
      <c r="Y307">
        <v>1.4850000000000001</v>
      </c>
      <c r="Z307">
        <f t="shared" si="62"/>
        <v>-0.14212427362243757</v>
      </c>
      <c r="AA307">
        <f t="shared" si="63"/>
        <v>-0.1488403056460656</v>
      </c>
    </row>
    <row r="308" spans="25:27" x14ac:dyDescent="0.2">
      <c r="Y308">
        <v>1.49</v>
      </c>
      <c r="Z308">
        <f t="shared" si="62"/>
        <v>-0.14509261978441104</v>
      </c>
      <c r="AA308">
        <f t="shared" si="63"/>
        <v>-0.14222359915009916</v>
      </c>
    </row>
    <row r="309" spans="25:27" x14ac:dyDescent="0.2">
      <c r="Y309">
        <v>1.4950000000000001</v>
      </c>
      <c r="Z309">
        <f t="shared" si="62"/>
        <v>-0.14769830995969926</v>
      </c>
      <c r="AA309">
        <f t="shared" si="63"/>
        <v>-0.13525140772487584</v>
      </c>
    </row>
    <row r="310" spans="25:27" x14ac:dyDescent="0.2">
      <c r="Y310">
        <v>1.5</v>
      </c>
      <c r="Z310">
        <f t="shared" si="62"/>
        <v>-0.149934831279881</v>
      </c>
      <c r="AA310">
        <f t="shared" si="63"/>
        <v>-0.1279411582179121</v>
      </c>
    </row>
    <row r="311" spans="25:27" x14ac:dyDescent="0.2">
      <c r="Y311">
        <v>1.5049999999999999</v>
      </c>
      <c r="Z311">
        <f t="shared" si="62"/>
        <v>-0.15179659360641373</v>
      </c>
      <c r="AA311">
        <f t="shared" si="63"/>
        <v>-0.12031112244587074</v>
      </c>
    </row>
    <row r="312" spans="25:27" x14ac:dyDescent="0.2">
      <c r="Y312">
        <v>1.51</v>
      </c>
      <c r="Z312">
        <f t="shared" si="62"/>
        <v>-0.15327894350306823</v>
      </c>
      <c r="AA312">
        <f t="shared" si="63"/>
        <v>-0.11238037152453577</v>
      </c>
    </row>
    <row r="313" spans="25:27" x14ac:dyDescent="0.2">
      <c r="Y313">
        <v>1.5149999999999999</v>
      </c>
      <c r="Z313">
        <f t="shared" si="62"/>
        <v>-0.15437817586709562</v>
      </c>
      <c r="AA313">
        <f t="shared" si="63"/>
        <v>-0.10416872820095584</v>
      </c>
    </row>
    <row r="314" spans="25:27" x14ac:dyDescent="0.2">
      <c r="Y314">
        <v>1.52</v>
      </c>
      <c r="Z314">
        <f t="shared" si="62"/>
        <v>-0.15509154319005511</v>
      </c>
      <c r="AA314">
        <f t="shared" si="63"/>
        <v>-9.569671730689816E-2</v>
      </c>
    </row>
    <row r="315" spans="25:27" x14ac:dyDescent="0.2">
      <c r="Y315">
        <v>1.5249999999999999</v>
      </c>
      <c r="Z315">
        <f t="shared" si="62"/>
        <v>-0.15541726242515377</v>
      </c>
      <c r="AA315">
        <f t="shared" si="63"/>
        <v>-8.6985514457460167E-2</v>
      </c>
    </row>
    <row r="316" spans="25:27" x14ac:dyDescent="0.2">
      <c r="Y316">
        <v>1.53</v>
      </c>
      <c r="Z316">
        <f t="shared" si="62"/>
        <v>-0.15535451944393516</v>
      </c>
      <c r="AA316">
        <f t="shared" si="63"/>
        <v>-7.8056893123058732E-2</v>
      </c>
    </row>
    <row r="317" spans="25:27" x14ac:dyDescent="0.2">
      <c r="Y317">
        <v>1.5349999999999999</v>
      </c>
      <c r="Z317">
        <f t="shared" si="62"/>
        <v>-0.15490347107117639</v>
      </c>
      <c r="AA317">
        <f t="shared" si="63"/>
        <v>-6.8933170207094052E-2</v>
      </c>
    </row>
    <row r="318" spans="25:27" x14ac:dyDescent="0.2">
      <c r="Y318">
        <v>1.54</v>
      </c>
      <c r="Z318">
        <f t="shared" si="62"/>
        <v>-0.15406524469290789</v>
      </c>
      <c r="AA318">
        <f t="shared" si="63"/>
        <v>-5.9637150265312383E-2</v>
      </c>
    </row>
    <row r="319" spans="25:27" x14ac:dyDescent="0.2">
      <c r="Y319">
        <v>1.5449999999999999</v>
      </c>
      <c r="Z319">
        <f t="shared" si="62"/>
        <v>-0.15284193543853555</v>
      </c>
      <c r="AA319">
        <f t="shared" si="63"/>
        <v>-5.0192068506295227E-2</v>
      </c>
    </row>
    <row r="320" spans="25:27" x14ac:dyDescent="0.2">
      <c r="Y320">
        <v>1.55</v>
      </c>
      <c r="Z320">
        <f t="shared" si="62"/>
        <v>-0.1512366009441081</v>
      </c>
      <c r="AA320">
        <f t="shared" si="63"/>
        <v>-4.0621532715535966E-2</v>
      </c>
    </row>
    <row r="321" spans="25:27" x14ac:dyDescent="0.2">
      <c r="Y321">
        <v>1.5549999999999999</v>
      </c>
      <c r="Z321">
        <f t="shared" si="62"/>
        <v>-0.14925325370981959</v>
      </c>
      <c r="AA321">
        <f t="shared" si="63"/>
        <v>-3.0949464248273485E-2</v>
      </c>
    </row>
    <row r="322" spans="25:27" x14ac:dyDescent="0.2">
      <c r="Y322">
        <v>1.56</v>
      </c>
      <c r="Z322">
        <f t="shared" si="62"/>
        <v>-0.14689685107084832</v>
      </c>
      <c r="AA322">
        <f t="shared" si="63"/>
        <v>-2.1200038238559024E-2</v>
      </c>
    </row>
    <row r="323" spans="25:27" x14ac:dyDescent="0.2">
      <c r="Y323">
        <v>1.5649999999999999</v>
      </c>
      <c r="Z323">
        <f t="shared" si="62"/>
        <v>-0.14417328280660135</v>
      </c>
      <c r="AA323">
        <f t="shared" si="63"/>
        <v>-1.1397623174015692E-2</v>
      </c>
    </row>
    <row r="324" spans="25:27" x14ac:dyDescent="0.2">
      <c r="Y324">
        <v>1.57</v>
      </c>
      <c r="Z324">
        <f t="shared" si="62"/>
        <v>-0.14108935641933179</v>
      </c>
      <c r="AA324">
        <f t="shared" si="63"/>
        <v>-1.5667199873036788E-3</v>
      </c>
    </row>
    <row r="325" spans="25:27" x14ac:dyDescent="0.2">
      <c r="Y325">
        <v>1.575</v>
      </c>
      <c r="Z325">
        <f t="shared" si="62"/>
        <v>-0.13765278011893053</v>
      </c>
      <c r="AA325">
        <f t="shared" si="63"/>
        <v>8.2680991834438999E-3</v>
      </c>
    </row>
    <row r="326" spans="25:27" x14ac:dyDescent="0.2">
      <c r="Y326">
        <v>1.58</v>
      </c>
      <c r="Z326">
        <f t="shared" si="62"/>
        <v>-0.13387214355641386</v>
      </c>
      <c r="AA326">
        <f t="shared" si="63"/>
        <v>1.8082252412176033E-2</v>
      </c>
    </row>
    <row r="327" spans="25:27" x14ac:dyDescent="0.2">
      <c r="Y327">
        <v>1.585</v>
      </c>
      <c r="Z327">
        <f t="shared" si="62"/>
        <v>-0.12975689635427096</v>
      </c>
      <c r="AA327">
        <f t="shared" si="63"/>
        <v>2.7851209426932394E-2</v>
      </c>
    </row>
    <row r="328" spans="25:27" x14ac:dyDescent="0.2">
      <c r="Y328">
        <v>1.59</v>
      </c>
      <c r="Z328">
        <f t="shared" si="62"/>
        <v>-0.12531732448732746</v>
      </c>
      <c r="AA328">
        <f t="shared" si="63"/>
        <v>3.7550552922751237E-2</v>
      </c>
    </row>
    <row r="329" spans="25:27" x14ac:dyDescent="0.2">
      <c r="Y329">
        <v>1.595</v>
      </c>
      <c r="Z329">
        <f t="shared" si="62"/>
        <v>-0.12056452457316681</v>
      </c>
      <c r="AA329">
        <f t="shared" si="63"/>
        <v>4.7156039592212796E-2</v>
      </c>
    </row>
    <row r="330" spans="25:27" x14ac:dyDescent="0.2">
      <c r="Y330">
        <v>1.6</v>
      </c>
      <c r="Z330">
        <f t="shared" si="62"/>
        <v>-0.11551037613636365</v>
      </c>
      <c r="AA330">
        <f t="shared" si="63"/>
        <v>5.6643660721084829E-2</v>
      </c>
    </row>
    <row r="331" spans="25:27" x14ac:dyDescent="0.2">
      <c r="Y331">
        <v>1.605</v>
      </c>
      <c r="Z331">
        <f t="shared" ref="Z331:Z394" si="64">$W$3*SIN($Q$3*Y331-$Z$3)</f>
        <v>-0.11016751191586059</v>
      </c>
      <c r="AA331">
        <f t="shared" ref="AA331:AA394" si="65">$U$3*SIN($Q$3*Y331)</f>
        <v>6.598970219760239E-2</v>
      </c>
    </row>
    <row r="332" spans="25:27" x14ac:dyDescent="0.2">
      <c r="Y332">
        <v>1.61</v>
      </c>
      <c r="Z332">
        <f t="shared" si="64"/>
        <v>-0.10454928628969896</v>
      </c>
      <c r="AA332">
        <f t="shared" si="65"/>
        <v>7.5170803785398504E-2</v>
      </c>
    </row>
    <row r="333" spans="25:27" x14ac:dyDescent="0.2">
      <c r="Y333">
        <v>1.615</v>
      </c>
      <c r="Z333">
        <f t="shared" si="64"/>
        <v>-9.8669741896029256E-2</v>
      </c>
      <c r="AA333">
        <f t="shared" si="65"/>
        <v>8.4164017511928299E-2</v>
      </c>
    </row>
    <row r="334" spans="25:27" x14ac:dyDescent="0.2">
      <c r="Y334">
        <v>1.62</v>
      </c>
      <c r="Z334">
        <f t="shared" si="64"/>
        <v>-9.254357453382682E-2</v>
      </c>
      <c r="AA334">
        <f t="shared" si="65"/>
        <v>9.2946865026452538E-2</v>
      </c>
    </row>
    <row r="335" spans="25:27" x14ac:dyDescent="0.2">
      <c r="Y335">
        <v>1.625</v>
      </c>
      <c r="Z335">
        <f t="shared" si="64"/>
        <v>-8.6186096431052642E-2</v>
      </c>
      <c r="AA335">
        <f t="shared" si="65"/>
        <v>0.10149739378420097</v>
      </c>
    </row>
    <row r="336" spans="25:27" x14ac:dyDescent="0.2">
      <c r="Y336">
        <v>1.63</v>
      </c>
      <c r="Z336">
        <f t="shared" si="64"/>
        <v>-7.9613197972052199E-2</v>
      </c>
      <c r="AA336">
        <f t="shared" si="65"/>
        <v>0.10979423191630977</v>
      </c>
    </row>
    <row r="337" spans="25:27" x14ac:dyDescent="0.2">
      <c r="Y337">
        <v>1.635</v>
      </c>
      <c r="Z337">
        <f t="shared" si="64"/>
        <v>-7.2841307979872691E-2</v>
      </c>
      <c r="AA337">
        <f t="shared" si="65"/>
        <v>0.1178166416483596</v>
      </c>
    </row>
    <row r="338" spans="25:27" x14ac:dyDescent="0.2">
      <c r="Y338">
        <v>1.64</v>
      </c>
      <c r="Z338">
        <f t="shared" si="64"/>
        <v>-6.5887352652764311E-2</v>
      </c>
      <c r="AA338">
        <f t="shared" si="65"/>
        <v>0.12554457113400821</v>
      </c>
    </row>
    <row r="339" spans="25:27" x14ac:dyDescent="0.2">
      <c r="Y339">
        <v>1.645</v>
      </c>
      <c r="Z339">
        <f t="shared" si="64"/>
        <v>-5.8768713257493471E-2</v>
      </c>
      <c r="AA339">
        <f t="shared" si="65"/>
        <v>0.13295870457417111</v>
      </c>
    </row>
    <row r="340" spans="25:27" x14ac:dyDescent="0.2">
      <c r="Y340">
        <v>1.65</v>
      </c>
      <c r="Z340">
        <f t="shared" si="64"/>
        <v>-5.1503182685233108E-2</v>
      </c>
      <c r="AA340">
        <f t="shared" si="65"/>
        <v>0.14004051049645336</v>
      </c>
    </row>
    <row r="341" spans="25:27" x14ac:dyDescent="0.2">
      <c r="Y341">
        <v>1.655</v>
      </c>
      <c r="Z341">
        <f t="shared" si="64"/>
        <v>-4.4108920978598684E-2</v>
      </c>
      <c r="AA341">
        <f t="shared" si="65"/>
        <v>0.14677228807418247</v>
      </c>
    </row>
    <row r="342" spans="25:27" x14ac:dyDescent="0.2">
      <c r="Y342">
        <v>1.66</v>
      </c>
      <c r="Z342">
        <f t="shared" si="64"/>
        <v>-3.6604409941000289E-2</v>
      </c>
      <c r="AA342">
        <f t="shared" si="65"/>
        <v>0.15313721136925565</v>
      </c>
    </row>
    <row r="343" spans="25:27" x14ac:dyDescent="0.2">
      <c r="Y343">
        <v>1.665</v>
      </c>
      <c r="Z343">
        <f t="shared" si="64"/>
        <v>-2.9008406941757034E-2</v>
      </c>
      <c r="AA343">
        <f t="shared" si="65"/>
        <v>0.15911937138822416</v>
      </c>
    </row>
    <row r="344" spans="25:27" x14ac:dyDescent="0.2">
      <c r="Y344">
        <v>1.67</v>
      </c>
      <c r="Z344">
        <f t="shared" si="64"/>
        <v>-2.1339898032445681E-2</v>
      </c>
      <c r="AA344">
        <f t="shared" si="65"/>
        <v>0.16470381584648874</v>
      </c>
    </row>
    <row r="345" spans="25:27" x14ac:dyDescent="0.2">
      <c r="Y345">
        <v>1.675</v>
      </c>
      <c r="Z345">
        <f t="shared" si="64"/>
        <v>-1.3618050491657265E-2</v>
      </c>
      <c r="AA345">
        <f t="shared" si="65"/>
        <v>0.16987658654122625</v>
      </c>
    </row>
    <row r="346" spans="25:27" x14ac:dyDescent="0.2">
      <c r="Y346">
        <v>1.68</v>
      </c>
      <c r="Z346">
        <f t="shared" si="64"/>
        <v>-5.8621649167833008E-3</v>
      </c>
      <c r="AA346">
        <f t="shared" si="65"/>
        <v>0.1746247542396267</v>
      </c>
    </row>
    <row r="347" spans="25:27" x14ac:dyDescent="0.2">
      <c r="Y347">
        <v>1.6850000000000001</v>
      </c>
      <c r="Z347">
        <f t="shared" si="64"/>
        <v>1.9083730174261489E-3</v>
      </c>
      <c r="AA347">
        <f t="shared" si="65"/>
        <v>0.17893645099524205</v>
      </c>
    </row>
    <row r="348" spans="25:27" x14ac:dyDescent="0.2">
      <c r="Y348">
        <v>1.69</v>
      </c>
      <c r="Z348">
        <f t="shared" si="64"/>
        <v>9.674141012952938E-3</v>
      </c>
      <c r="AA348">
        <f t="shared" si="65"/>
        <v>0.18280089981167125</v>
      </c>
    </row>
    <row r="349" spans="25:27" x14ac:dyDescent="0.2">
      <c r="Y349">
        <v>1.6950000000000001</v>
      </c>
      <c r="Z349">
        <f t="shared" si="64"/>
        <v>1.7415728694143141E-2</v>
      </c>
      <c r="AA349">
        <f t="shared" si="65"/>
        <v>0.18620844157943983</v>
      </c>
    </row>
    <row r="350" spans="25:27" x14ac:dyDescent="0.2">
      <c r="Y350">
        <v>1.7</v>
      </c>
      <c r="Z350">
        <f t="shared" si="64"/>
        <v>2.5113786123534154E-2</v>
      </c>
      <c r="AA350">
        <f t="shared" si="65"/>
        <v>0.18915055921874152</v>
      </c>
    </row>
    <row r="351" spans="25:27" x14ac:dyDescent="0.2">
      <c r="Y351">
        <v>1.7050000000000001</v>
      </c>
      <c r="Z351">
        <f t="shared" si="64"/>
        <v>3.2749072166623316E-2</v>
      </c>
      <c r="AA351">
        <f t="shared" si="65"/>
        <v>0.19161989896770332</v>
      </c>
    </row>
    <row r="352" spans="25:27" x14ac:dyDescent="0.2">
      <c r="Y352">
        <v>1.71</v>
      </c>
      <c r="Z352">
        <f t="shared" si="64"/>
        <v>4.0302502584682993E-2</v>
      </c>
      <c r="AA352">
        <f t="shared" si="65"/>
        <v>0.19361028876296008</v>
      </c>
    </row>
    <row r="353" spans="25:27" x14ac:dyDescent="0.2">
      <c r="Y353">
        <v>1.7150000000000001</v>
      </c>
      <c r="Z353">
        <f t="shared" si="64"/>
        <v>4.7755197735418822E-2</v>
      </c>
      <c r="AA353">
        <f t="shared" si="65"/>
        <v>0.19511675366659864</v>
      </c>
    </row>
    <row r="354" spans="25:27" x14ac:dyDescent="0.2">
      <c r="Y354">
        <v>1.72</v>
      </c>
      <c r="Z354">
        <f t="shared" si="64"/>
        <v>5.5088529762241531E-2</v>
      </c>
      <c r="AA354">
        <f t="shared" si="65"/>
        <v>0.1961355283009116</v>
      </c>
    </row>
    <row r="355" spans="25:27" x14ac:dyDescent="0.2">
      <c r="Y355">
        <v>1.7250000000000001</v>
      </c>
      <c r="Z355">
        <f t="shared" si="64"/>
        <v>6.2284169154210839E-2</v>
      </c>
      <c r="AA355">
        <f t="shared" si="65"/>
        <v>0.19666406625988092</v>
      </c>
    </row>
    <row r="356" spans="25:27" x14ac:dyDescent="0.2">
      <c r="Y356">
        <v>1.73</v>
      </c>
      <c r="Z356">
        <f t="shared" si="64"/>
        <v>6.9324130560262875E-2</v>
      </c>
      <c r="AA356">
        <f t="shared" si="65"/>
        <v>0.1967010464738663</v>
      </c>
    </row>
    <row r="357" spans="25:27" x14ac:dyDescent="0.2">
      <c r="Y357">
        <v>1.7350000000000001</v>
      </c>
      <c r="Z357">
        <f t="shared" si="64"/>
        <v>7.6190817743223532E-2</v>
      </c>
      <c r="AA357">
        <f t="shared" si="65"/>
        <v>0.19624637651159171</v>
      </c>
    </row>
    <row r="358" spans="25:27" x14ac:dyDescent="0.2">
      <c r="Y358">
        <v>1.74</v>
      </c>
      <c r="Z358">
        <f t="shared" si="64"/>
        <v>8.2867067561236477E-2</v>
      </c>
      <c r="AA358">
        <f t="shared" si="65"/>
        <v>0.19530119281117542</v>
      </c>
    </row>
    <row r="359" spans="25:27" x14ac:dyDescent="0.2">
      <c r="Y359">
        <v>1.7450000000000001</v>
      </c>
      <c r="Z359">
        <f t="shared" si="64"/>
        <v>8.9336192866681777E-2</v>
      </c>
      <c r="AA359">
        <f t="shared" si="65"/>
        <v>0.19386785783962598</v>
      </c>
    </row>
    <row r="360" spans="25:27" x14ac:dyDescent="0.2">
      <c r="Y360">
        <v>1.75</v>
      </c>
      <c r="Z360">
        <f t="shared" si="64"/>
        <v>9.5582024215349309E-2</v>
      </c>
      <c r="AA360">
        <f t="shared" si="65"/>
        <v>0.19194995418790634</v>
      </c>
    </row>
    <row r="361" spans="25:27" x14ac:dyDescent="0.2">
      <c r="Y361">
        <v>1.7549999999999999</v>
      </c>
      <c r="Z361">
        <f t="shared" si="64"/>
        <v>0.10158895028163445</v>
      </c>
      <c r="AA361">
        <f t="shared" si="65"/>
        <v>0.18955227561632063</v>
      </c>
    </row>
    <row r="362" spans="25:27" x14ac:dyDescent="0.2">
      <c r="Y362">
        <v>1.76</v>
      </c>
      <c r="Z362">
        <f t="shared" si="64"/>
        <v>0.10734195687871888</v>
      </c>
      <c r="AA362">
        <f t="shared" si="65"/>
        <v>0.18668081507261058</v>
      </c>
    </row>
    <row r="363" spans="25:27" x14ac:dyDescent="0.2">
      <c r="Y363">
        <v>1.7649999999999999</v>
      </c>
      <c r="Z363">
        <f t="shared" si="64"/>
        <v>0.11282666448621619</v>
      </c>
      <c r="AA363">
        <f t="shared" si="65"/>
        <v>0.1833427497127085</v>
      </c>
    </row>
    <row r="364" spans="25:27" x14ac:dyDescent="0.2">
      <c r="Y364">
        <v>1.77</v>
      </c>
      <c r="Z364">
        <f t="shared" si="64"/>
        <v>0.11802936419148932</v>
      </c>
      <c r="AA364">
        <f t="shared" si="65"/>
        <v>0.17954642296158269</v>
      </c>
    </row>
    <row r="365" spans="25:27" x14ac:dyDescent="0.2">
      <c r="Y365">
        <v>1.7749999999999999</v>
      </c>
      <c r="Z365">
        <f t="shared" si="64"/>
        <v>0.12293705195478834</v>
      </c>
      <c r="AA365">
        <f t="shared" si="65"/>
        <v>0.17530132365902235</v>
      </c>
    </row>
    <row r="366" spans="25:27" x14ac:dyDescent="0.2">
      <c r="Y366">
        <v>1.78</v>
      </c>
      <c r="Z366">
        <f t="shared" si="64"/>
        <v>0.12753746111257938</v>
      </c>
      <c r="AA366">
        <f t="shared" si="65"/>
        <v>0.17061806234247898</v>
      </c>
    </row>
    <row r="367" spans="25:27" x14ac:dyDescent="0.2">
      <c r="Y367">
        <v>1.7849999999999999</v>
      </c>
      <c r="Z367">
        <f t="shared" si="64"/>
        <v>0.13181909303781442</v>
      </c>
      <c r="AA367">
        <f t="shared" si="65"/>
        <v>0.16550834472624898</v>
      </c>
    </row>
    <row r="368" spans="25:27" x14ac:dyDescent="0.2">
      <c r="Y368">
        <v>1.79</v>
      </c>
      <c r="Z368">
        <f t="shared" si="64"/>
        <v>0.13577124588051179</v>
      </c>
      <c r="AA368">
        <f t="shared" si="65"/>
        <v>0.15998494244328265</v>
      </c>
    </row>
    <row r="369" spans="25:27" x14ac:dyDescent="0.2">
      <c r="Y369">
        <v>1.7949999999999999</v>
      </c>
      <c r="Z369">
        <f t="shared" si="64"/>
        <v>0.13938404131680587</v>
      </c>
      <c r="AA369">
        <f t="shared" si="65"/>
        <v>0.15406166112275546</v>
      </c>
    </row>
    <row r="370" spans="25:27" x14ac:dyDescent="0.2">
      <c r="Y370">
        <v>1.8</v>
      </c>
      <c r="Z370">
        <f t="shared" si="64"/>
        <v>0.14264844923961334</v>
      </c>
      <c r="AA370">
        <f t="shared" si="65"/>
        <v>0.14775330588318347</v>
      </c>
    </row>
    <row r="371" spans="25:27" x14ac:dyDescent="0.2">
      <c r="Y371">
        <v>1.8049999999999999</v>
      </c>
      <c r="Z371">
        <f t="shared" si="64"/>
        <v>0.14555631032919808</v>
      </c>
      <c r="AA371">
        <f t="shared" si="65"/>
        <v>0.14107564432733774</v>
      </c>
    </row>
    <row r="372" spans="25:27" x14ac:dyDescent="0.2">
      <c r="Y372">
        <v>1.81</v>
      </c>
      <c r="Z372">
        <f t="shared" si="64"/>
        <v>0.1481003564472208</v>
      </c>
      <c r="AA372">
        <f t="shared" si="65"/>
        <v>0.13404536713144891</v>
      </c>
    </row>
    <row r="373" spans="25:27" x14ac:dyDescent="0.2">
      <c r="Y373">
        <v>1.8149999999999999</v>
      </c>
      <c r="Z373">
        <f t="shared" si="64"/>
        <v>0.15027422880329999</v>
      </c>
      <c r="AA373">
        <f t="shared" si="65"/>
        <v>0.12668004632720969</v>
      </c>
    </row>
    <row r="374" spans="25:27" x14ac:dyDescent="0.2">
      <c r="Y374">
        <v>1.82</v>
      </c>
      <c r="Z374">
        <f t="shared" si="64"/>
        <v>0.15207249384867652</v>
      </c>
      <c r="AA374">
        <f t="shared" si="65"/>
        <v>0.11899809138084472</v>
      </c>
    </row>
    <row r="375" spans="25:27" x14ac:dyDescent="0.2">
      <c r="Y375">
        <v>1.825</v>
      </c>
      <c r="Z375">
        <f t="shared" si="64"/>
        <v>0.15349065685725519</v>
      </c>
      <c r="AA375">
        <f t="shared" si="65"/>
        <v>0.11101870317903559</v>
      </c>
    </row>
    <row r="376" spans="25:27" x14ac:dyDescent="0.2">
      <c r="Y376">
        <v>1.83</v>
      </c>
      <c r="Z376">
        <f t="shared" si="64"/>
        <v>0.15452517316007952</v>
      </c>
      <c r="AA376">
        <f t="shared" si="65"/>
        <v>0.10276182603670179</v>
      </c>
    </row>
    <row r="377" spans="25:27" x14ac:dyDescent="0.2">
      <c r="Y377">
        <v>1.835</v>
      </c>
      <c r="Z377">
        <f t="shared" si="64"/>
        <v>0.15517345700515814</v>
      </c>
      <c r="AA377">
        <f t="shared" si="65"/>
        <v>9.4248097846600681E-2</v>
      </c>
    </row>
    <row r="378" spans="25:27" x14ac:dyDescent="0.2">
      <c r="Y378">
        <v>1.84</v>
      </c>
      <c r="Z378">
        <f t="shared" si="64"/>
        <v>0.15543388802049804</v>
      </c>
      <c r="AA378">
        <f t="shared" si="65"/>
        <v>8.5498798495343586E-2</v>
      </c>
    </row>
    <row r="379" spans="25:27" x14ac:dyDescent="0.2">
      <c r="Y379">
        <v>1.845</v>
      </c>
      <c r="Z379">
        <f t="shared" si="64"/>
        <v>0.15530581526419077</v>
      </c>
      <c r="AA379">
        <f t="shared" si="65"/>
        <v>7.6535796674762249E-2</v>
      </c>
    </row>
    <row r="380" spans="25:27" x14ac:dyDescent="0.2">
      <c r="Y380">
        <v>1.85</v>
      </c>
      <c r="Z380">
        <f t="shared" si="64"/>
        <v>0.15478955885142803</v>
      </c>
      <c r="AA380">
        <f t="shared" si="65"/>
        <v>6.7381495221565765E-2</v>
      </c>
    </row>
    <row r="381" spans="25:27" x14ac:dyDescent="0.2">
      <c r="Y381">
        <v>1.855</v>
      </c>
      <c r="Z381">
        <f t="shared" si="64"/>
        <v>0.15388640915438065</v>
      </c>
      <c r="AA381">
        <f t="shared" si="65"/>
        <v>5.805877512191971E-2</v>
      </c>
    </row>
    <row r="382" spans="25:27" x14ac:dyDescent="0.2">
      <c r="Y382">
        <v>1.86</v>
      </c>
      <c r="Z382">
        <f t="shared" si="64"/>
        <v>0.15259862357693993</v>
      </c>
      <c r="AA382">
        <f t="shared" si="65"/>
        <v>4.8590938320894429E-2</v>
      </c>
    </row>
    <row r="383" spans="25:27" x14ac:dyDescent="0.2">
      <c r="Y383">
        <v>1.865</v>
      </c>
      <c r="Z383">
        <f t="shared" si="64"/>
        <v>0.15092942091238387</v>
      </c>
      <c r="AA383">
        <f t="shared" si="65"/>
        <v>3.9001649479739074E-2</v>
      </c>
    </row>
    <row r="384" spans="25:27" x14ac:dyDescent="0.2">
      <c r="Y384">
        <v>1.87</v>
      </c>
      <c r="Z384">
        <f t="shared" si="64"/>
        <v>0.14888297329806949</v>
      </c>
      <c r="AA384">
        <f t="shared" si="65"/>
        <v>2.9314876826549409E-2</v>
      </c>
    </row>
    <row r="385" spans="25:27" x14ac:dyDescent="0.2">
      <c r="Y385">
        <v>1.875</v>
      </c>
      <c r="Z385">
        <f t="shared" si="64"/>
        <v>0.14646439578726386</v>
      </c>
      <c r="AA385">
        <f t="shared" si="65"/>
        <v>1.9554832248187468E-2</v>
      </c>
    </row>
    <row r="386" spans="25:27" x14ac:dyDescent="0.2">
      <c r="Y386">
        <v>1.88</v>
      </c>
      <c r="Z386">
        <f t="shared" si="64"/>
        <v>0.14367973356417291</v>
      </c>
      <c r="AA386">
        <f t="shared" si="65"/>
        <v>9.7459107731648308E-3</v>
      </c>
    </row>
    <row r="387" spans="25:27" x14ac:dyDescent="0.2">
      <c r="Y387">
        <v>1.885</v>
      </c>
      <c r="Z387">
        <f t="shared" si="64"/>
        <v>0.14053594683412984</v>
      </c>
      <c r="AA387">
        <f t="shared" si="65"/>
        <v>-8.7370403219899661E-5</v>
      </c>
    </row>
    <row r="388" spans="25:27" x14ac:dyDescent="0.2">
      <c r="Y388">
        <v>1.89</v>
      </c>
      <c r="Z388">
        <f t="shared" si="64"/>
        <v>0.13704089342670817</v>
      </c>
      <c r="AA388">
        <f t="shared" si="65"/>
        <v>-9.9204331990968113E-3</v>
      </c>
    </row>
    <row r="389" spans="25:27" x14ac:dyDescent="0.2">
      <c r="Y389">
        <v>1.895</v>
      </c>
      <c r="Z389">
        <f t="shared" si="64"/>
        <v>0.13320330915523712</v>
      </c>
      <c r="AA389">
        <f t="shared" si="65"/>
        <v>-1.9728700078438414E-2</v>
      </c>
    </row>
    <row r="390" spans="25:27" x14ac:dyDescent="0.2">
      <c r="Y390">
        <v>1.9</v>
      </c>
      <c r="Z390">
        <f t="shared" si="64"/>
        <v>0.12903278598182033</v>
      </c>
      <c r="AA390">
        <f t="shared" si="65"/>
        <v>-2.9487655482092305E-2</v>
      </c>
    </row>
    <row r="391" spans="25:27" x14ac:dyDescent="0.2">
      <c r="Y391">
        <v>1.905</v>
      </c>
      <c r="Z391">
        <f t="shared" si="64"/>
        <v>0.12453974804242489</v>
      </c>
      <c r="AA391">
        <f t="shared" si="65"/>
        <v>-3.9172907103915064E-2</v>
      </c>
    </row>
    <row r="392" spans="25:27" x14ac:dyDescent="0.2">
      <c r="Y392">
        <v>1.91</v>
      </c>
      <c r="Z392">
        <f t="shared" si="64"/>
        <v>0.11973542559197073</v>
      </c>
      <c r="AA392">
        <f t="shared" si="65"/>
        <v>-4.8760246858833012E-2</v>
      </c>
    </row>
    <row r="393" spans="25:27" x14ac:dyDescent="0.2">
      <c r="Y393">
        <v>1.915</v>
      </c>
      <c r="Z393">
        <f t="shared" si="64"/>
        <v>0.11463182693454049</v>
      </c>
      <c r="AA393">
        <f t="shared" si="65"/>
        <v>-5.8225711390450213E-2</v>
      </c>
    </row>
    <row r="394" spans="25:27" x14ac:dyDescent="0.2">
      <c r="Y394">
        <v>1.92</v>
      </c>
      <c r="Z394">
        <f t="shared" si="64"/>
        <v>0.10924170840887532</v>
      </c>
      <c r="AA394">
        <f t="shared" si="65"/>
        <v>-6.7545641966955602E-2</v>
      </c>
    </row>
    <row r="395" spans="25:27" x14ac:dyDescent="0.2">
      <c r="Y395">
        <v>1.925</v>
      </c>
      <c r="Z395">
        <f t="shared" ref="Z395:Z400" si="66">$W$3*SIN($Q$3*Y395-$Z$3)</f>
        <v>0.1035785425041699</v>
      </c>
      <c r="AA395">
        <f t="shared" ref="AA395:AA400" si="67">$U$3*SIN($Q$3*Y395)</f>
        <v>-7.6696743615633917E-2</v>
      </c>
    </row>
    <row r="396" spans="25:27" x14ac:dyDescent="0.2">
      <c r="Y396">
        <v>1.93</v>
      </c>
      <c r="Z396">
        <f t="shared" si="66"/>
        <v>9.7656484185866199E-2</v>
      </c>
      <c r="AA396">
        <f t="shared" si="67"/>
        <v>-8.565614334816507E-2</v>
      </c>
    </row>
    <row r="397" spans="25:27" x14ac:dyDescent="0.2">
      <c r="Y397">
        <v>1.9350000000000001</v>
      </c>
      <c r="Z397">
        <f t="shared" si="66"/>
        <v>9.1490335515611615E-2</v>
      </c>
      <c r="AA397">
        <f t="shared" si="67"/>
        <v>-9.4401447331182914E-2</v>
      </c>
    </row>
    <row r="398" spans="25:27" x14ac:dyDescent="0.2">
      <c r="Y398">
        <v>1.94</v>
      </c>
      <c r="Z398">
        <f t="shared" si="66"/>
        <v>8.5095508653814142E-2</v>
      </c>
      <c r="AA398">
        <f t="shared" si="67"/>
        <v>-0.10291079685919557</v>
      </c>
    </row>
    <row r="399" spans="25:27" x14ac:dyDescent="0.2">
      <c r="Y399">
        <v>1.9450000000000001</v>
      </c>
      <c r="Z399">
        <f t="shared" si="66"/>
        <v>7.8487987337265863E-2</v>
      </c>
      <c r="AA399">
        <f t="shared" si="67"/>
        <v>-0.11116292298996781</v>
      </c>
    </row>
    <row r="400" spans="25:27" x14ac:dyDescent="0.2">
      <c r="Y400">
        <v>1.95</v>
      </c>
      <c r="Z400">
        <f t="shared" si="66"/>
        <v>7.1684286928128074E-2</v>
      </c>
      <c r="AA400">
        <f t="shared" si="67"/>
        <v>-0.11913719970579628</v>
      </c>
    </row>
  </sheetData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8"/>
  <dimension ref="C1:BD116"/>
  <sheetViews>
    <sheetView topLeftCell="C1" zoomScale="80" zoomScaleNormal="80" workbookViewId="0">
      <selection activeCell="Z5" sqref="Z5"/>
    </sheetView>
  </sheetViews>
  <sheetFormatPr defaultRowHeight="12.75" x14ac:dyDescent="0.2"/>
  <cols>
    <col min="24" max="24" width="13.7109375" bestFit="1" customWidth="1"/>
    <col min="34" max="35" width="0" hidden="1" customWidth="1"/>
    <col min="40" max="40" width="12.5703125" bestFit="1" customWidth="1"/>
    <col min="42" max="42" width="21.28515625" bestFit="1" customWidth="1"/>
  </cols>
  <sheetData>
    <row r="1" spans="8:56" ht="18" x14ac:dyDescent="0.25">
      <c r="H1" s="18"/>
      <c r="AA1" s="7" t="s">
        <v>35</v>
      </c>
      <c r="AG1" s="18" t="s">
        <v>121</v>
      </c>
    </row>
    <row r="2" spans="8:56" x14ac:dyDescent="0.2">
      <c r="U2" s="7" t="s">
        <v>120</v>
      </c>
      <c r="V2" s="4" t="s">
        <v>46</v>
      </c>
      <c r="W2" s="4" t="s">
        <v>49</v>
      </c>
      <c r="X2" s="4" t="s">
        <v>47</v>
      </c>
      <c r="Y2" s="4" t="s">
        <v>7</v>
      </c>
      <c r="Z2" s="4" t="s">
        <v>48</v>
      </c>
      <c r="AA2" s="4" t="s">
        <v>81</v>
      </c>
      <c r="AB2" s="4" t="s">
        <v>48</v>
      </c>
      <c r="AC2" s="4"/>
      <c r="AD2" s="4" t="s">
        <v>35</v>
      </c>
      <c r="AE2" s="4"/>
      <c r="AF2" s="4"/>
      <c r="AG2" s="4"/>
      <c r="AH2" s="4"/>
      <c r="AI2" s="4" t="s">
        <v>35</v>
      </c>
      <c r="AJ2" s="7" t="s">
        <v>35</v>
      </c>
      <c r="AK2" s="7" t="s">
        <v>35</v>
      </c>
      <c r="AL2" s="7" t="s">
        <v>35</v>
      </c>
      <c r="AM2" s="4"/>
      <c r="AO2" s="4" t="s">
        <v>86</v>
      </c>
      <c r="AP2" s="4" t="s">
        <v>34</v>
      </c>
      <c r="AZ2" s="7" t="s">
        <v>46</v>
      </c>
      <c r="BA2" s="7" t="s">
        <v>46</v>
      </c>
      <c r="BB2" s="7" t="s">
        <v>35</v>
      </c>
      <c r="BC2" s="7" t="s">
        <v>46</v>
      </c>
      <c r="BD2" s="7" t="s">
        <v>35</v>
      </c>
    </row>
    <row r="3" spans="8:56" ht="18.75" thickBot="1" x14ac:dyDescent="0.3">
      <c r="U3" s="5" t="s">
        <v>0</v>
      </c>
      <c r="V3" s="5" t="s">
        <v>35</v>
      </c>
      <c r="W3" s="5" t="s">
        <v>34</v>
      </c>
      <c r="X3" s="5" t="s">
        <v>36</v>
      </c>
      <c r="Y3" s="5" t="s">
        <v>56</v>
      </c>
      <c r="Z3" s="24" t="s">
        <v>37</v>
      </c>
      <c r="AA3" s="5" t="s">
        <v>54</v>
      </c>
      <c r="AB3" s="24" t="s">
        <v>39</v>
      </c>
      <c r="AC3" s="5" t="s">
        <v>0</v>
      </c>
      <c r="AD3" s="5" t="s">
        <v>38</v>
      </c>
      <c r="AE3" s="5" t="s">
        <v>103</v>
      </c>
      <c r="AF3" s="5" t="s">
        <v>97</v>
      </c>
      <c r="AG3" s="5" t="s">
        <v>100</v>
      </c>
      <c r="AH3" s="5" t="s">
        <v>106</v>
      </c>
      <c r="AI3" s="5" t="s">
        <v>98</v>
      </c>
      <c r="AJ3" s="5" t="s">
        <v>99</v>
      </c>
      <c r="AK3" s="5" t="s">
        <v>101</v>
      </c>
      <c r="AL3" s="5" t="s">
        <v>102</v>
      </c>
      <c r="AM3" s="24" t="s">
        <v>108</v>
      </c>
      <c r="AN3" s="5" t="s">
        <v>109</v>
      </c>
      <c r="AO3" s="24" t="s">
        <v>110</v>
      </c>
      <c r="AP3" s="5" t="s">
        <v>33</v>
      </c>
      <c r="AS3" s="18" t="s">
        <v>95</v>
      </c>
      <c r="AZ3" s="5" t="s">
        <v>122</v>
      </c>
      <c r="BA3" s="5" t="s">
        <v>113</v>
      </c>
      <c r="BB3" s="5" t="s">
        <v>96</v>
      </c>
      <c r="BC3" s="5" t="s">
        <v>35</v>
      </c>
      <c r="BD3" s="5" t="s">
        <v>114</v>
      </c>
    </row>
    <row r="4" spans="8:56" ht="13.5" thickBot="1" x14ac:dyDescent="0.25">
      <c r="U4">
        <f>AC4</f>
        <v>0.37275253184921492</v>
      </c>
      <c r="V4" s="121">
        <v>250</v>
      </c>
      <c r="W4" s="121">
        <v>20000</v>
      </c>
      <c r="X4" s="121">
        <v>1667</v>
      </c>
      <c r="Y4" s="3">
        <f>W4*AA4</f>
        <v>250</v>
      </c>
      <c r="Z4" s="121">
        <v>3.5</v>
      </c>
      <c r="AA4" s="169">
        <v>1.2500000000000001E-2</v>
      </c>
      <c r="AB4">
        <f>(W4/V4)^0.5</f>
        <v>8.9442719099991592</v>
      </c>
      <c r="AC4">
        <f>X4/2/V4/AB4</f>
        <v>0.37275253184921492</v>
      </c>
      <c r="AD4">
        <f>Y4/W4</f>
        <v>1.2500000000000001E-2</v>
      </c>
      <c r="AE4">
        <f>AM4^2*AH4</f>
        <v>0.17095330643952281</v>
      </c>
      <c r="AF4">
        <f>(1+AC4^2*2*AM4^2)^0.5*AH4</f>
        <v>1.139935323684135</v>
      </c>
      <c r="AG4" s="23">
        <f>AC4*2*AM4*AH4</f>
        <v>0.32569047066821083</v>
      </c>
      <c r="AH4">
        <f>1/((1-AM4^2)^2+4*AC4^2*AM4^2)^0.5</f>
        <v>1.1164297563397407</v>
      </c>
      <c r="AI4">
        <f>AH4*AD4</f>
        <v>1.3955371954246759E-2</v>
      </c>
      <c r="AJ4">
        <f>AD4*AG4</f>
        <v>4.0711308833526359E-3</v>
      </c>
      <c r="AK4">
        <f>AD4*AF4</f>
        <v>1.4249191546051688E-2</v>
      </c>
      <c r="AL4">
        <f>AD4*AE4</f>
        <v>2.1369163304940353E-3</v>
      </c>
      <c r="AM4">
        <f>Z4/AB4</f>
        <v>0.39131189606246319</v>
      </c>
      <c r="AN4">
        <f>2*AC4*AM4/(1-AM4^2)</f>
        <v>0.34447232472324718</v>
      </c>
      <c r="AO4">
        <f>IF(AM4&lt;=1,ATAN(AN4),ATAN(AN4)+3.1415)</f>
        <v>0.33174192491504295</v>
      </c>
      <c r="AP4">
        <f>6.28/Z4</f>
        <v>1.7942857142857143</v>
      </c>
      <c r="AZ4" s="121">
        <v>18</v>
      </c>
      <c r="BA4" s="121">
        <v>2</v>
      </c>
      <c r="BB4" s="121">
        <v>0.06</v>
      </c>
      <c r="BC4" s="21">
        <f>AZ4+BA4</f>
        <v>20</v>
      </c>
      <c r="BD4" s="21">
        <f>BA4*BB4/BC4</f>
        <v>6.0000000000000001E-3</v>
      </c>
    </row>
    <row r="5" spans="8:56" x14ac:dyDescent="0.2">
      <c r="BC5" s="2" t="s">
        <v>105</v>
      </c>
    </row>
    <row r="6" spans="8:56" ht="18" x14ac:dyDescent="0.25">
      <c r="AG6" s="18" t="s">
        <v>94</v>
      </c>
    </row>
    <row r="7" spans="8:56" ht="20.25" x14ac:dyDescent="0.3">
      <c r="W7" s="22" t="s">
        <v>94</v>
      </c>
      <c r="Z7" s="18" t="s">
        <v>95</v>
      </c>
      <c r="AC7" s="18" t="s">
        <v>104</v>
      </c>
      <c r="BB7" s="18" t="s">
        <v>104</v>
      </c>
    </row>
    <row r="9" spans="8:56" x14ac:dyDescent="0.2">
      <c r="V9" t="s">
        <v>6</v>
      </c>
      <c r="W9" t="s">
        <v>7</v>
      </c>
      <c r="X9" t="s">
        <v>8</v>
      </c>
      <c r="Z9" t="s">
        <v>7</v>
      </c>
      <c r="AA9" t="s">
        <v>8</v>
      </c>
      <c r="AC9" t="s">
        <v>7</v>
      </c>
      <c r="AD9" t="s">
        <v>8</v>
      </c>
    </row>
    <row r="10" spans="8:56" x14ac:dyDescent="0.2">
      <c r="V10">
        <v>0</v>
      </c>
      <c r="W10">
        <f>(2*$U$4*V10)/((1-V10^2)^2+4*$U$4^2*V10^2)^0.5</f>
        <v>0</v>
      </c>
      <c r="X10">
        <f>ATAN((2*$U$4*V10)/(1-V10^2))</f>
        <v>0</v>
      </c>
      <c r="Z10">
        <f>(1+4*$U$4^2*V10^2)^0.5/((1-V10^2)^2+4*$U$4^2*V10^2)^0.5</f>
        <v>1</v>
      </c>
      <c r="AA10">
        <f>ATAN(2*$U$4*V10/(1-V10^2))</f>
        <v>0</v>
      </c>
      <c r="AC10">
        <f>(V10*V10)/((1-V10^2)^2+4*$U$4^2*V10^2)^0.5</f>
        <v>0</v>
      </c>
      <c r="AD10">
        <f>ATAN((2*$U$4*V10)/(1-V10^2))</f>
        <v>0</v>
      </c>
    </row>
    <row r="11" spans="8:56" x14ac:dyDescent="0.2">
      <c r="V11">
        <v>0.1</v>
      </c>
      <c r="W11">
        <f t="shared" ref="W11:W74" si="0">(2*$U$4*V11)/((1-V11^2)^2+4*$U$4^2*V11^2)^0.5</f>
        <v>7.5090936551516288E-2</v>
      </c>
      <c r="X11">
        <f>ATAN((2*$U$4*V11)/(1-V11^2))</f>
        <v>7.5161684784218405E-2</v>
      </c>
      <c r="Z11">
        <f t="shared" ref="Z11:Z74" si="1">(1+4*$U$4^2*V11^2)^0.5/((1-V11^2)^2+4*$U$4^2*V11^2)^0.5</f>
        <v>1.0100443372434009</v>
      </c>
      <c r="AA11">
        <f t="shared" ref="AA11:AA28" si="2">ATAN(2*$U$4*V11/(1-V11^2))</f>
        <v>7.5161684784218405E-2</v>
      </c>
      <c r="AC11">
        <f t="shared" ref="AC11:AC74" si="3">(V11*V11)/((1-V11^2)^2+4*$U$4^2*V11^2)^0.5</f>
        <v>1.0072491819035037E-2</v>
      </c>
      <c r="AD11">
        <f t="shared" ref="AD11:AD28" si="4">ATAN((2*$U$4*V11)/(1-V11^2))</f>
        <v>7.5161684784218405E-2</v>
      </c>
    </row>
    <row r="12" spans="8:56" x14ac:dyDescent="0.2">
      <c r="V12">
        <v>0.2</v>
      </c>
      <c r="W12">
        <f t="shared" si="0"/>
        <v>0.15347351814419322</v>
      </c>
      <c r="X12">
        <f t="shared" ref="X12:X27" si="5">ATAN((2*$U$4*V12)/(1-V12^2))</f>
        <v>0.15408248409599531</v>
      </c>
      <c r="Z12">
        <f t="shared" si="1"/>
        <v>1.0407044289691625</v>
      </c>
      <c r="AA12">
        <f t="shared" si="2"/>
        <v>0.15408248409599531</v>
      </c>
      <c r="AC12">
        <f t="shared" si="3"/>
        <v>4.1173031711633286E-2</v>
      </c>
      <c r="AD12">
        <f t="shared" si="4"/>
        <v>0.15408248409599531</v>
      </c>
    </row>
    <row r="13" spans="8:56" x14ac:dyDescent="0.2">
      <c r="V13">
        <v>0.3</v>
      </c>
      <c r="W13">
        <f t="shared" si="0"/>
        <v>0.23866839771981524</v>
      </c>
      <c r="X13">
        <f t="shared" si="5"/>
        <v>0.24099439021066824</v>
      </c>
      <c r="Z13">
        <f t="shared" si="1"/>
        <v>1.0935077143368783</v>
      </c>
      <c r="AA13">
        <f t="shared" si="2"/>
        <v>0.24099439021066824</v>
      </c>
      <c r="AC13">
        <f t="shared" si="3"/>
        <v>9.6042968455152256E-2</v>
      </c>
      <c r="AD13">
        <f t="shared" si="4"/>
        <v>0.24099439021066824</v>
      </c>
    </row>
    <row r="14" spans="8:56" x14ac:dyDescent="0.2">
      <c r="V14">
        <v>0.4</v>
      </c>
      <c r="W14">
        <f t="shared" si="0"/>
        <v>0.33454685872170747</v>
      </c>
      <c r="X14">
        <f t="shared" si="5"/>
        <v>0.34112434086039284</v>
      </c>
      <c r="Z14">
        <f t="shared" si="1"/>
        <v>1.1706989844480529</v>
      </c>
      <c r="AA14">
        <f t="shared" si="2"/>
        <v>0.34112434086039284</v>
      </c>
      <c r="AC14">
        <f t="shared" si="3"/>
        <v>0.17950078410576037</v>
      </c>
      <c r="AD14">
        <f t="shared" si="4"/>
        <v>0.34112434086039284</v>
      </c>
    </row>
    <row r="15" spans="8:56" x14ac:dyDescent="0.2">
      <c r="V15">
        <v>0.5</v>
      </c>
      <c r="W15">
        <f t="shared" si="0"/>
        <v>0.4450655305506942</v>
      </c>
      <c r="X15">
        <f t="shared" si="5"/>
        <v>0.46124743727837586</v>
      </c>
      <c r="Z15">
        <f t="shared" si="1"/>
        <v>1.2742499630331301</v>
      </c>
      <c r="AA15">
        <f t="shared" si="2"/>
        <v>0.46124743727837586</v>
      </c>
      <c r="AC15">
        <f t="shared" si="3"/>
        <v>0.29849933435913667</v>
      </c>
      <c r="AD15">
        <f t="shared" si="4"/>
        <v>0.46124743727837586</v>
      </c>
    </row>
    <row r="16" spans="8:56" x14ac:dyDescent="0.2">
      <c r="V16">
        <v>0.6</v>
      </c>
      <c r="W16">
        <f t="shared" si="0"/>
        <v>0.57286312911596582</v>
      </c>
      <c r="X16">
        <f t="shared" si="5"/>
        <v>0.60999471605320343</v>
      </c>
      <c r="Z16">
        <f t="shared" si="1"/>
        <v>1.4029885390567589</v>
      </c>
      <c r="AA16">
        <f t="shared" si="2"/>
        <v>0.60999471605320343</v>
      </c>
      <c r="AC16">
        <f t="shared" si="3"/>
        <v>0.46105371271980999</v>
      </c>
      <c r="AD16">
        <f t="shared" si="4"/>
        <v>0.60999471605320343</v>
      </c>
    </row>
    <row r="17" spans="3:54" x14ac:dyDescent="0.2">
      <c r="V17">
        <v>0.7</v>
      </c>
      <c r="W17">
        <f t="shared" si="0"/>
        <v>0.71518256921247048</v>
      </c>
      <c r="X17">
        <f t="shared" si="5"/>
        <v>0.7968852811892686</v>
      </c>
      <c r="Z17">
        <f t="shared" si="1"/>
        <v>1.5458535890380796</v>
      </c>
      <c r="AA17">
        <f t="shared" si="2"/>
        <v>0.7968852811892686</v>
      </c>
      <c r="AC17">
        <f t="shared" si="3"/>
        <v>0.67152836758093726</v>
      </c>
      <c r="AD17">
        <f t="shared" si="4"/>
        <v>0.7968852811892686</v>
      </c>
    </row>
    <row r="18" spans="3:54" x14ac:dyDescent="0.2">
      <c r="V18">
        <v>0.8</v>
      </c>
      <c r="W18">
        <f t="shared" si="0"/>
        <v>0.85612351708460421</v>
      </c>
      <c r="X18">
        <f t="shared" si="5"/>
        <v>1.0277210490824735</v>
      </c>
      <c r="Z18">
        <f t="shared" si="1"/>
        <v>1.6713880266321344</v>
      </c>
      <c r="AA18">
        <f t="shared" si="2"/>
        <v>1.0277210490824735</v>
      </c>
      <c r="AC18">
        <f t="shared" si="3"/>
        <v>0.91870444215351066</v>
      </c>
      <c r="AD18">
        <f t="shared" si="4"/>
        <v>1.0277210490824735</v>
      </c>
    </row>
    <row r="19" spans="3:54" ht="18" x14ac:dyDescent="0.25">
      <c r="V19">
        <v>0.9</v>
      </c>
      <c r="W19">
        <f t="shared" si="0"/>
        <v>0.96216575374648605</v>
      </c>
      <c r="X19">
        <f t="shared" si="5"/>
        <v>1.2948425096296952</v>
      </c>
      <c r="Z19">
        <f t="shared" si="1"/>
        <v>1.7269022140021908</v>
      </c>
      <c r="AA19">
        <f t="shared" si="2"/>
        <v>1.2948425096296952</v>
      </c>
      <c r="AC19">
        <f t="shared" si="3"/>
        <v>1.1615604246547806</v>
      </c>
      <c r="AD19">
        <f t="shared" si="4"/>
        <v>1.2948425096296952</v>
      </c>
      <c r="BB19" s="18"/>
    </row>
    <row r="20" spans="3:54" x14ac:dyDescent="0.2">
      <c r="V20">
        <v>0.91</v>
      </c>
      <c r="W20">
        <f t="shared" si="0"/>
        <v>0.96936511153804439</v>
      </c>
      <c r="X20">
        <f t="shared" si="5"/>
        <v>1.3226326910275739</v>
      </c>
      <c r="Z20">
        <f t="shared" si="1"/>
        <v>1.7266624932561794</v>
      </c>
      <c r="AA20">
        <f t="shared" si="2"/>
        <v>1.3226326910275739</v>
      </c>
      <c r="AC20">
        <f t="shared" si="3"/>
        <v>1.1832545403829138</v>
      </c>
      <c r="AD20">
        <f t="shared" si="4"/>
        <v>1.3226326910275739</v>
      </c>
    </row>
    <row r="21" spans="3:54" x14ac:dyDescent="0.2">
      <c r="V21">
        <v>0.92</v>
      </c>
      <c r="W21">
        <f t="shared" si="0"/>
        <v>0.97582851450515029</v>
      </c>
      <c r="X21">
        <f t="shared" si="5"/>
        <v>1.3504806675088967</v>
      </c>
      <c r="Z21">
        <f t="shared" si="1"/>
        <v>1.725259199800764</v>
      </c>
      <c r="AA21">
        <f t="shared" si="2"/>
        <v>1.3504806675088967</v>
      </c>
      <c r="AC21">
        <f t="shared" si="3"/>
        <v>1.2042335821180943</v>
      </c>
      <c r="AD21">
        <f t="shared" si="4"/>
        <v>1.3504806675088967</v>
      </c>
    </row>
    <row r="22" spans="3:54" x14ac:dyDescent="0.2">
      <c r="V22">
        <v>0.93</v>
      </c>
      <c r="W22">
        <f t="shared" si="0"/>
        <v>0.98153896363983462</v>
      </c>
      <c r="X22">
        <f t="shared" si="5"/>
        <v>1.3783483114473174</v>
      </c>
      <c r="Z22">
        <f t="shared" si="1"/>
        <v>1.7226870744124116</v>
      </c>
      <c r="AA22">
        <f t="shared" si="2"/>
        <v>1.3783483114473174</v>
      </c>
      <c r="AC22">
        <f t="shared" si="3"/>
        <v>1.2244467283112954</v>
      </c>
      <c r="AD22">
        <f t="shared" si="4"/>
        <v>1.3783483114473174</v>
      </c>
    </row>
    <row r="23" spans="3:54" x14ac:dyDescent="0.2">
      <c r="V23">
        <v>0.94</v>
      </c>
      <c r="W23">
        <f t="shared" si="0"/>
        <v>0.98648412517417761</v>
      </c>
      <c r="X23">
        <f t="shared" si="5"/>
        <v>1.4061972288642461</v>
      </c>
      <c r="Z23">
        <f t="shared" si="1"/>
        <v>1.7189485924223502</v>
      </c>
      <c r="AA23">
        <f t="shared" si="2"/>
        <v>1.4061972288642461</v>
      </c>
      <c r="AC23">
        <f t="shared" si="3"/>
        <v>1.2438481276886866</v>
      </c>
      <c r="AD23">
        <f t="shared" si="4"/>
        <v>1.4061972288642461</v>
      </c>
    </row>
    <row r="24" spans="3:54" x14ac:dyDescent="0.2">
      <c r="V24">
        <v>0.95</v>
      </c>
      <c r="W24">
        <f t="shared" si="0"/>
        <v>0.99065647674777235</v>
      </c>
      <c r="X24">
        <f t="shared" si="5"/>
        <v>1.4339890912207018</v>
      </c>
      <c r="Z24">
        <f t="shared" si="1"/>
        <v>1.7140539471400262</v>
      </c>
      <c r="AA24">
        <f t="shared" si="2"/>
        <v>1.4339890912207018</v>
      </c>
      <c r="AC24">
        <f t="shared" si="3"/>
        <v>1.2623973984046408</v>
      </c>
      <c r="AD24">
        <f t="shared" si="4"/>
        <v>1.4339890912207018</v>
      </c>
    </row>
    <row r="25" spans="3:54" x14ac:dyDescent="0.2">
      <c r="V25">
        <v>0.96</v>
      </c>
      <c r="W25">
        <f t="shared" si="0"/>
        <v>0.99405336765774599</v>
      </c>
      <c r="X25">
        <f t="shared" si="5"/>
        <v>1.4616859657320533</v>
      </c>
      <c r="Z25">
        <f t="shared" si="1"/>
        <v>1.7080208950546243</v>
      </c>
      <c r="AA25">
        <f t="shared" si="2"/>
        <v>1.4616859657320533</v>
      </c>
      <c r="AC25">
        <f t="shared" si="3"/>
        <v>1.2800600283212351</v>
      </c>
      <c r="AD25">
        <f t="shared" si="4"/>
        <v>1.4616859657320533</v>
      </c>
    </row>
    <row r="26" spans="3:54" x14ac:dyDescent="0.2">
      <c r="V26">
        <v>0.97</v>
      </c>
      <c r="W26">
        <f t="shared" si="0"/>
        <v>0.99667699228026185</v>
      </c>
      <c r="X26">
        <f t="shared" si="5"/>
        <v>1.4892506371596923</v>
      </c>
      <c r="Z26">
        <f t="shared" si="1"/>
        <v>1.7008744676661463</v>
      </c>
      <c r="AA26">
        <f t="shared" si="2"/>
        <v>1.4892506371596923</v>
      </c>
      <c r="AC26">
        <f t="shared" si="3"/>
        <v>1.2968076671615103</v>
      </c>
      <c r="AD26">
        <f t="shared" si="4"/>
        <v>1.4892506371596923</v>
      </c>
    </row>
    <row r="27" spans="3:54" ht="18" x14ac:dyDescent="0.25">
      <c r="D27" s="18" t="s">
        <v>5</v>
      </c>
      <c r="G27" s="18" t="s">
        <v>24</v>
      </c>
      <c r="J27" s="20" t="s">
        <v>90</v>
      </c>
      <c r="O27" s="20" t="s">
        <v>0</v>
      </c>
      <c r="R27" s="20" t="s">
        <v>91</v>
      </c>
      <c r="V27">
        <v>0.98</v>
      </c>
      <c r="W27">
        <f t="shared" si="0"/>
        <v>0.99853427876355605</v>
      </c>
      <c r="X27">
        <f t="shared" si="5"/>
        <v>1.5166469143711843</v>
      </c>
      <c r="Z27">
        <f t="shared" si="1"/>
        <v>1.6926465593621707</v>
      </c>
      <c r="AA27">
        <f t="shared" si="2"/>
        <v>1.5166469143711843</v>
      </c>
      <c r="AC27">
        <f t="shared" si="3"/>
        <v>1.3126183051442444</v>
      </c>
      <c r="AD27">
        <f t="shared" si="4"/>
        <v>1.5166469143711843</v>
      </c>
    </row>
    <row r="28" spans="3:54" ht="18" x14ac:dyDescent="0.25">
      <c r="C28" s="18" t="s">
        <v>92</v>
      </c>
      <c r="G28" s="19"/>
      <c r="L28" s="19"/>
      <c r="R28" s="19"/>
      <c r="V28" s="19">
        <v>0.99</v>
      </c>
      <c r="W28">
        <f t="shared" si="0"/>
        <v>0.99963669794673982</v>
      </c>
      <c r="X28">
        <f>ATAN((2*$U$4*V28)/(1-V28^2))</f>
        <v>1.5438399155554359</v>
      </c>
      <c r="Z28">
        <f t="shared" si="1"/>
        <v>1.6833754048056444</v>
      </c>
      <c r="AA28">
        <f t="shared" si="2"/>
        <v>1.5438399155554359</v>
      </c>
      <c r="AC28">
        <f t="shared" si="3"/>
        <v>1.327476336723582</v>
      </c>
      <c r="AD28">
        <f t="shared" si="4"/>
        <v>1.5438399155554359</v>
      </c>
    </row>
    <row r="29" spans="3:54" x14ac:dyDescent="0.2">
      <c r="V29">
        <v>1.01</v>
      </c>
      <c r="W29">
        <f t="shared" si="0"/>
        <v>0.99964388838238316</v>
      </c>
      <c r="X29">
        <f>ATAN((2*$U$4*V29)/(1-V29^2))+3.14</f>
        <v>1.5958919760937542</v>
      </c>
      <c r="Z29">
        <f t="shared" si="1"/>
        <v>1.6618842245921259</v>
      </c>
      <c r="AA29">
        <f>ATAN(2*$U$4*V29/(1-V29^2))+3.14</f>
        <v>1.5958919760937542</v>
      </c>
      <c r="AC29">
        <f t="shared" si="3"/>
        <v>1.3543037819990245</v>
      </c>
      <c r="AD29">
        <f>ATAN((2*$U$4*V29)/(1-V29^2))+3.14</f>
        <v>1.5958919760937542</v>
      </c>
    </row>
    <row r="30" spans="3:54" x14ac:dyDescent="0.2">
      <c r="V30">
        <v>1.02</v>
      </c>
      <c r="W30">
        <f t="shared" si="0"/>
        <v>0.99859164228159691</v>
      </c>
      <c r="X30">
        <f t="shared" ref="X30:X93" si="6">ATAN((2*$U$4*V30)/(1-V30^2))+3.14</f>
        <v>1.6222826411903486</v>
      </c>
      <c r="Z30">
        <f t="shared" si="1"/>
        <v>1.649766471091612</v>
      </c>
      <c r="AA30">
        <f t="shared" ref="AA30:AA93" si="7">ATAN(2*$U$4*V30/(1-V30^2))+3.14</f>
        <v>1.6222826411903486</v>
      </c>
      <c r="AC30">
        <f t="shared" si="3"/>
        <v>1.366273047260288</v>
      </c>
      <c r="AD30">
        <f t="shared" ref="AD30:AD93" si="8">ATAN((2*$U$4*V30)/(1-V30^2))+3.14</f>
        <v>1.6222826411903486</v>
      </c>
    </row>
    <row r="31" spans="3:54" x14ac:dyDescent="0.2">
      <c r="V31">
        <v>1.03</v>
      </c>
      <c r="W31">
        <f t="shared" si="0"/>
        <v>0.99686969968672257</v>
      </c>
      <c r="X31">
        <f t="shared" si="6"/>
        <v>1.6483482852505145</v>
      </c>
      <c r="Z31">
        <f t="shared" si="1"/>
        <v>1.636808493865666</v>
      </c>
      <c r="AA31">
        <f t="shared" si="7"/>
        <v>1.6483482852505145</v>
      </c>
      <c r="AC31">
        <f t="shared" si="3"/>
        <v>1.3772888215990353</v>
      </c>
      <c r="AD31">
        <f t="shared" si="8"/>
        <v>1.6483482852505145</v>
      </c>
    </row>
    <row r="32" spans="3:54" ht="18" x14ac:dyDescent="0.25">
      <c r="D32" s="18" t="s">
        <v>139</v>
      </c>
      <c r="K32" s="29" t="s">
        <v>0</v>
      </c>
      <c r="R32" s="29" t="s">
        <v>91</v>
      </c>
      <c r="V32">
        <v>1.04</v>
      </c>
      <c r="W32">
        <f t="shared" si="0"/>
        <v>0.9945072136421903</v>
      </c>
      <c r="X32">
        <f t="shared" si="6"/>
        <v>1.6740637913297318</v>
      </c>
      <c r="Z32">
        <f t="shared" si="1"/>
        <v>1.623069806942909</v>
      </c>
      <c r="AA32">
        <f t="shared" si="7"/>
        <v>1.6740637913297318</v>
      </c>
      <c r="AC32">
        <f t="shared" si="3"/>
        <v>1.3873648249373471</v>
      </c>
      <c r="AD32">
        <f t="shared" si="8"/>
        <v>1.6740637913297318</v>
      </c>
    </row>
    <row r="33" spans="22:44" x14ac:dyDescent="0.2">
      <c r="V33">
        <v>1.05</v>
      </c>
      <c r="W33">
        <f t="shared" si="0"/>
        <v>0.99153559407174274</v>
      </c>
      <c r="X33">
        <f t="shared" si="6"/>
        <v>1.6994063919382512</v>
      </c>
      <c r="Z33">
        <f t="shared" si="1"/>
        <v>1.6086118650785453</v>
      </c>
      <c r="AA33">
        <f t="shared" si="7"/>
        <v>1.6994063919382512</v>
      </c>
      <c r="AC33">
        <f t="shared" si="3"/>
        <v>1.3965195200826677</v>
      </c>
      <c r="AD33">
        <f t="shared" si="8"/>
        <v>1.6994063919382512</v>
      </c>
      <c r="AP33" s="7" t="s">
        <v>7</v>
      </c>
      <c r="AQ33" s="4"/>
      <c r="AR33" s="7" t="s">
        <v>7</v>
      </c>
    </row>
    <row r="34" spans="22:44" ht="23.25" x14ac:dyDescent="0.4">
      <c r="V34">
        <v>1.06</v>
      </c>
      <c r="W34">
        <f t="shared" si="0"/>
        <v>0.98798804690866837</v>
      </c>
      <c r="X34">
        <f t="shared" si="6"/>
        <v>1.7243557164138494</v>
      </c>
      <c r="Z34">
        <f t="shared" si="1"/>
        <v>1.5934973072262435</v>
      </c>
      <c r="AA34">
        <f t="shared" si="7"/>
        <v>1.7243557164138494</v>
      </c>
      <c r="AC34">
        <f t="shared" si="3"/>
        <v>1.4047756088036809</v>
      </c>
      <c r="AD34">
        <f t="shared" si="8"/>
        <v>1.7243557164138494</v>
      </c>
      <c r="AJ34" s="30" t="s">
        <v>342</v>
      </c>
      <c r="AN34" s="30"/>
      <c r="AO34" s="30"/>
      <c r="AP34" s="32" t="s">
        <v>343</v>
      </c>
      <c r="AQ34" s="32"/>
      <c r="AR34" s="32" t="s">
        <v>344</v>
      </c>
    </row>
    <row r="35" spans="22:44" ht="18" x14ac:dyDescent="0.25">
      <c r="V35">
        <v>1.07</v>
      </c>
      <c r="W35">
        <f t="shared" si="0"/>
        <v>0.98389912121122092</v>
      </c>
      <c r="X35">
        <f t="shared" si="6"/>
        <v>1.7488938045249085</v>
      </c>
      <c r="Z35">
        <f t="shared" si="1"/>
        <v>1.5777892400583051</v>
      </c>
      <c r="AA35">
        <f t="shared" si="7"/>
        <v>1.7488938045249085</v>
      </c>
      <c r="AC35">
        <f t="shared" si="3"/>
        <v>1.4121595022751872</v>
      </c>
      <c r="AD35">
        <f t="shared" si="8"/>
        <v>1.7488938045249085</v>
      </c>
      <c r="AJ35" s="2" t="s">
        <v>345</v>
      </c>
      <c r="AP35" s="29">
        <f>BA4*BB4*Z4^2</f>
        <v>1.47</v>
      </c>
      <c r="AQ35" s="29"/>
      <c r="AR35" s="29">
        <f>AP35*AF4</f>
        <v>1.6757049258156784</v>
      </c>
    </row>
    <row r="36" spans="22:44" x14ac:dyDescent="0.2">
      <c r="V36">
        <v>1.08</v>
      </c>
      <c r="W36">
        <f t="shared" si="0"/>
        <v>0.97930427358167182</v>
      </c>
      <c r="X36">
        <f t="shared" si="6"/>
        <v>1.7730050890026012</v>
      </c>
      <c r="Z36">
        <f t="shared" si="1"/>
        <v>1.5615505737761166</v>
      </c>
      <c r="AA36">
        <f t="shared" si="7"/>
        <v>1.7730050890026012</v>
      </c>
      <c r="AC36">
        <f t="shared" si="3"/>
        <v>1.4187007801412379</v>
      </c>
      <c r="AD36">
        <f t="shared" si="8"/>
        <v>1.7730050890026012</v>
      </c>
    </row>
    <row r="37" spans="22:44" x14ac:dyDescent="0.2">
      <c r="V37">
        <v>1.0900000000000001</v>
      </c>
      <c r="W37">
        <f t="shared" si="0"/>
        <v>0.97423945765017639</v>
      </c>
      <c r="X37">
        <f t="shared" si="6"/>
        <v>1.7966763502164176</v>
      </c>
      <c r="Z37">
        <f t="shared" si="1"/>
        <v>1.5448434195321104</v>
      </c>
      <c r="AA37">
        <f t="shared" si="7"/>
        <v>1.7966763502164176</v>
      </c>
      <c r="AC37">
        <f t="shared" si="3"/>
        <v>1.4244316511688488</v>
      </c>
      <c r="AD37">
        <f t="shared" si="8"/>
        <v>1.7966763502164176</v>
      </c>
    </row>
    <row r="38" spans="22:44" x14ac:dyDescent="0.2">
      <c r="V38">
        <v>1.1000000000000001</v>
      </c>
      <c r="W38">
        <f t="shared" si="0"/>
        <v>0.96874074473292315</v>
      </c>
      <c r="X38">
        <f t="shared" si="6"/>
        <v>1.819896646552233</v>
      </c>
      <c r="Z38">
        <f t="shared" si="1"/>
        <v>1.5277285548833468</v>
      </c>
      <c r="AA38">
        <f t="shared" si="7"/>
        <v>1.819896646552233</v>
      </c>
      <c r="AC38">
        <f t="shared" si="3"/>
        <v>1.429386426860376</v>
      </c>
      <c r="AD38">
        <f t="shared" si="8"/>
        <v>1.819896646552233</v>
      </c>
    </row>
    <row r="39" spans="22:44" x14ac:dyDescent="0.2">
      <c r="V39">
        <v>1.2</v>
      </c>
      <c r="W39">
        <f t="shared" si="0"/>
        <v>0.8973381290223349</v>
      </c>
      <c r="X39">
        <f t="shared" si="6"/>
        <v>2.0262992510723801</v>
      </c>
      <c r="Z39">
        <f t="shared" si="1"/>
        <v>1.3458576737289847</v>
      </c>
      <c r="AA39">
        <f t="shared" si="7"/>
        <v>2.0262992510723801</v>
      </c>
      <c r="AC39">
        <f t="shared" si="3"/>
        <v>1.444397640285364</v>
      </c>
      <c r="AD39">
        <f t="shared" si="8"/>
        <v>2.0262992510723801</v>
      </c>
    </row>
    <row r="40" spans="22:44" x14ac:dyDescent="0.2">
      <c r="V40">
        <v>1.3</v>
      </c>
      <c r="W40">
        <f t="shared" si="0"/>
        <v>0.81462888182733173</v>
      </c>
      <c r="X40">
        <f t="shared" si="6"/>
        <v>2.1879109710547917</v>
      </c>
      <c r="Z40">
        <f t="shared" si="1"/>
        <v>1.1705349223419161</v>
      </c>
      <c r="AA40">
        <f t="shared" si="7"/>
        <v>2.1879109710547917</v>
      </c>
      <c r="AC40">
        <f t="shared" si="3"/>
        <v>1.4205370264311483</v>
      </c>
      <c r="AD40">
        <f t="shared" si="8"/>
        <v>2.1879109710547917</v>
      </c>
    </row>
    <row r="41" spans="22:44" x14ac:dyDescent="0.2">
      <c r="V41">
        <v>1.4</v>
      </c>
      <c r="W41">
        <f t="shared" si="0"/>
        <v>0.73600497841081958</v>
      </c>
      <c r="X41">
        <f t="shared" si="6"/>
        <v>2.3128500036411683</v>
      </c>
      <c r="Z41">
        <f t="shared" si="1"/>
        <v>1.0193071388236681</v>
      </c>
      <c r="AA41">
        <f t="shared" si="7"/>
        <v>2.3128500036411683</v>
      </c>
      <c r="AC41">
        <f t="shared" si="3"/>
        <v>1.382159585426995</v>
      </c>
      <c r="AD41">
        <f t="shared" si="8"/>
        <v>2.3128500036411683</v>
      </c>
    </row>
    <row r="42" spans="22:44" x14ac:dyDescent="0.2">
      <c r="V42">
        <v>1.5</v>
      </c>
      <c r="W42">
        <f t="shared" si="0"/>
        <v>0.6667407308650023</v>
      </c>
      <c r="X42">
        <f t="shared" si="6"/>
        <v>2.4101729718074245</v>
      </c>
      <c r="Z42">
        <f t="shared" si="1"/>
        <v>0.89444706539290686</v>
      </c>
      <c r="AA42">
        <f t="shared" si="7"/>
        <v>2.4101729718074245</v>
      </c>
      <c r="AC42">
        <f t="shared" si="3"/>
        <v>1.3415215335171302</v>
      </c>
      <c r="AD42">
        <f t="shared" si="8"/>
        <v>2.4101729718074245</v>
      </c>
    </row>
    <row r="43" spans="22:44" x14ac:dyDescent="0.2">
      <c r="V43">
        <v>1.6</v>
      </c>
      <c r="W43">
        <f t="shared" si="0"/>
        <v>0.60740734677491826</v>
      </c>
      <c r="X43">
        <f t="shared" si="6"/>
        <v>2.4872071984380617</v>
      </c>
      <c r="Z43">
        <f t="shared" si="1"/>
        <v>0.79262442498496877</v>
      </c>
      <c r="AA43">
        <f t="shared" si="7"/>
        <v>2.4872071984380617</v>
      </c>
      <c r="AC43">
        <f t="shared" si="3"/>
        <v>1.3036152296787091</v>
      </c>
      <c r="AD43">
        <f t="shared" si="8"/>
        <v>2.4872071984380617</v>
      </c>
    </row>
    <row r="44" spans="22:44" x14ac:dyDescent="0.2">
      <c r="V44">
        <v>1.7</v>
      </c>
      <c r="W44">
        <f t="shared" si="0"/>
        <v>0.55693691635946441</v>
      </c>
      <c r="X44">
        <f t="shared" si="6"/>
        <v>2.5493067770188684</v>
      </c>
      <c r="Z44">
        <f t="shared" si="1"/>
        <v>0.70943102509868095</v>
      </c>
      <c r="AA44">
        <f t="shared" si="7"/>
        <v>2.5493067770188684</v>
      </c>
      <c r="AC44">
        <f t="shared" si="3"/>
        <v>1.2700017798860774</v>
      </c>
      <c r="AD44">
        <f t="shared" si="8"/>
        <v>2.5493067770188684</v>
      </c>
    </row>
    <row r="45" spans="22:44" x14ac:dyDescent="0.2">
      <c r="V45">
        <v>1.8</v>
      </c>
      <c r="W45">
        <f t="shared" si="0"/>
        <v>0.51390685473075737</v>
      </c>
      <c r="X45">
        <f t="shared" si="6"/>
        <v>2.6002671286723231</v>
      </c>
      <c r="Z45">
        <f t="shared" si="1"/>
        <v>0.64090868934114553</v>
      </c>
      <c r="AA45">
        <f t="shared" si="7"/>
        <v>2.6002671286723231</v>
      </c>
      <c r="AC45">
        <f t="shared" si="3"/>
        <v>1.2408129515932509</v>
      </c>
      <c r="AD45">
        <f t="shared" si="8"/>
        <v>2.6002671286723231</v>
      </c>
    </row>
    <row r="46" spans="22:44" x14ac:dyDescent="0.2">
      <c r="V46">
        <v>1.9</v>
      </c>
      <c r="W46">
        <f t="shared" si="0"/>
        <v>0.47698846507170606</v>
      </c>
      <c r="X46">
        <f t="shared" si="6"/>
        <v>2.6427749307230606</v>
      </c>
      <c r="Z46">
        <f t="shared" si="1"/>
        <v>0.58388055961691576</v>
      </c>
      <c r="AA46">
        <f t="shared" si="7"/>
        <v>2.6427749307230606</v>
      </c>
      <c r="AC46">
        <f t="shared" si="3"/>
        <v>1.2156565096154026</v>
      </c>
      <c r="AD46">
        <f t="shared" si="8"/>
        <v>2.6427749307230606</v>
      </c>
    </row>
    <row r="47" spans="22:44" x14ac:dyDescent="0.2">
      <c r="V47">
        <v>2</v>
      </c>
      <c r="W47">
        <f t="shared" si="0"/>
        <v>0.4450655305506942</v>
      </c>
      <c r="X47">
        <f t="shared" si="6"/>
        <v>2.6787525627216242</v>
      </c>
      <c r="Z47">
        <f t="shared" si="1"/>
        <v>0.53589661232108809</v>
      </c>
      <c r="AA47">
        <f t="shared" si="7"/>
        <v>2.6787525627216242</v>
      </c>
      <c r="AC47">
        <f t="shared" si="3"/>
        <v>1.1939973374365467</v>
      </c>
      <c r="AD47">
        <f t="shared" si="8"/>
        <v>2.6787525627216242</v>
      </c>
    </row>
    <row r="48" spans="22:44" x14ac:dyDescent="0.2">
      <c r="V48">
        <v>2.1</v>
      </c>
      <c r="W48">
        <f t="shared" si="0"/>
        <v>0.41723694086261531</v>
      </c>
      <c r="X48">
        <f t="shared" si="6"/>
        <v>2.70959715504222</v>
      </c>
      <c r="Z48">
        <f t="shared" si="1"/>
        <v>0.49508992374268201</v>
      </c>
      <c r="AA48">
        <f t="shared" si="7"/>
        <v>2.70959715504222</v>
      </c>
      <c r="AC48">
        <f t="shared" si="3"/>
        <v>1.1753073432723586</v>
      </c>
      <c r="AD48">
        <f t="shared" si="8"/>
        <v>2.70959715504222</v>
      </c>
    </row>
    <row r="49" spans="11:30" x14ac:dyDescent="0.2">
      <c r="V49">
        <v>2.2000000000000002</v>
      </c>
      <c r="W49">
        <f t="shared" si="0"/>
        <v>0.39278534114402908</v>
      </c>
      <c r="X49">
        <f t="shared" si="6"/>
        <v>2.7363415969828537</v>
      </c>
      <c r="Z49">
        <f t="shared" si="1"/>
        <v>0.46003734673386915</v>
      </c>
      <c r="AA49">
        <f t="shared" si="7"/>
        <v>2.7363415969828537</v>
      </c>
      <c r="AC49">
        <f t="shared" si="3"/>
        <v>1.1591172113975328</v>
      </c>
      <c r="AD49">
        <f t="shared" si="8"/>
        <v>2.7363415969828537</v>
      </c>
    </row>
    <row r="50" spans="11:30" x14ac:dyDescent="0.2">
      <c r="V50">
        <v>2.2999999999999998</v>
      </c>
      <c r="W50">
        <f t="shared" si="0"/>
        <v>0.37114093145365096</v>
      </c>
      <c r="X50">
        <f t="shared" si="6"/>
        <v>2.759762591911747</v>
      </c>
      <c r="Z50">
        <f t="shared" si="1"/>
        <v>0.42964730185450006</v>
      </c>
      <c r="AA50">
        <f t="shared" si="7"/>
        <v>2.759762591911747</v>
      </c>
      <c r="AC50">
        <f t="shared" si="3"/>
        <v>1.1450279601168523</v>
      </c>
      <c r="AD50">
        <f t="shared" si="8"/>
        <v>2.759762591911747</v>
      </c>
    </row>
    <row r="51" spans="11:30" x14ac:dyDescent="0.2">
      <c r="V51">
        <v>2.4</v>
      </c>
      <c r="W51">
        <f t="shared" si="0"/>
        <v>0.3518495362137854</v>
      </c>
      <c r="X51">
        <f t="shared" si="6"/>
        <v>2.7804537474653541</v>
      </c>
      <c r="Z51">
        <f t="shared" si="1"/>
        <v>0.40307509356801002</v>
      </c>
      <c r="AA51">
        <f t="shared" si="7"/>
        <v>2.7804537474653541</v>
      </c>
      <c r="AC51">
        <f t="shared" si="3"/>
        <v>1.132707110966956</v>
      </c>
      <c r="AD51">
        <f t="shared" si="8"/>
        <v>2.7804537474653541</v>
      </c>
    </row>
    <row r="52" spans="11:30" x14ac:dyDescent="0.2">
      <c r="V52">
        <v>2.5</v>
      </c>
      <c r="W52">
        <f t="shared" si="0"/>
        <v>0.33454685872170742</v>
      </c>
      <c r="X52">
        <f t="shared" si="6"/>
        <v>2.7988756591396076</v>
      </c>
      <c r="Z52">
        <f t="shared" si="1"/>
        <v>0.37966054861566118</v>
      </c>
      <c r="AA52">
        <f t="shared" si="7"/>
        <v>2.7988756591396076</v>
      </c>
      <c r="AC52">
        <f t="shared" si="3"/>
        <v>1.1218799006610021</v>
      </c>
      <c r="AD52">
        <f t="shared" si="8"/>
        <v>2.7988756591396076</v>
      </c>
    </row>
    <row r="53" spans="11:30" x14ac:dyDescent="0.2">
      <c r="V53">
        <v>2.6</v>
      </c>
      <c r="W53">
        <f t="shared" si="0"/>
        <v>0.31893846893287703</v>
      </c>
      <c r="X53">
        <f t="shared" si="6"/>
        <v>2.8153907479270197</v>
      </c>
      <c r="Z53">
        <f t="shared" si="1"/>
        <v>0.35888241558288608</v>
      </c>
      <c r="AA53">
        <f t="shared" si="7"/>
        <v>2.8153907479270197</v>
      </c>
      <c r="AC53">
        <f t="shared" si="3"/>
        <v>1.1123197676373167</v>
      </c>
      <c r="AD53">
        <f t="shared" si="8"/>
        <v>2.8153907479270197</v>
      </c>
    </row>
    <row r="54" spans="11:30" ht="18" x14ac:dyDescent="0.25">
      <c r="K54" s="18" t="s">
        <v>140</v>
      </c>
      <c r="V54">
        <v>2.7</v>
      </c>
      <c r="W54">
        <f t="shared" si="0"/>
        <v>0.30478447265179021</v>
      </c>
      <c r="X54">
        <f t="shared" si="6"/>
        <v>2.8302878730351102</v>
      </c>
      <c r="Z54">
        <f t="shared" si="1"/>
        <v>0.34032497406971268</v>
      </c>
      <c r="AA54">
        <f t="shared" si="7"/>
        <v>2.8302878730351102</v>
      </c>
      <c r="AC54">
        <f t="shared" si="3"/>
        <v>1.1038396869866449</v>
      </c>
      <c r="AD54">
        <f t="shared" si="8"/>
        <v>2.8302878730351102</v>
      </c>
    </row>
    <row r="55" spans="11:30" x14ac:dyDescent="0.2">
      <c r="V55">
        <v>2.8</v>
      </c>
      <c r="W55">
        <f t="shared" si="0"/>
        <v>0.2918878129069849</v>
      </c>
      <c r="X55">
        <f t="shared" si="6"/>
        <v>2.8437999897320756</v>
      </c>
      <c r="Z55">
        <f t="shared" si="1"/>
        <v>0.3236534448249766</v>
      </c>
      <c r="AA55">
        <f t="shared" si="7"/>
        <v>2.8437999897320756</v>
      </c>
      <c r="AC55">
        <f t="shared" si="3"/>
        <v>1.0962848086973751</v>
      </c>
      <c r="AD55">
        <f t="shared" si="8"/>
        <v>2.8437999897320756</v>
      </c>
    </row>
    <row r="56" spans="11:30" x14ac:dyDescent="0.2">
      <c r="V56">
        <v>2.9</v>
      </c>
      <c r="W56">
        <f t="shared" si="0"/>
        <v>0.28008532830153443</v>
      </c>
      <c r="X56">
        <f t="shared" si="6"/>
        <v>2.8561170059919663</v>
      </c>
      <c r="Z56">
        <f t="shared" si="1"/>
        <v>0.30859573814867081</v>
      </c>
      <c r="AA56">
        <f t="shared" si="7"/>
        <v>2.8561170059919663</v>
      </c>
      <c r="AC56">
        <f t="shared" si="3"/>
        <v>1.089526405152653</v>
      </c>
      <c r="AD56">
        <f t="shared" si="8"/>
        <v>2.8561170059919663</v>
      </c>
    </row>
    <row r="57" spans="11:30" x14ac:dyDescent="0.2">
      <c r="V57">
        <v>3</v>
      </c>
      <c r="W57">
        <f t="shared" si="0"/>
        <v>0.26924088681552744</v>
      </c>
      <c r="X57">
        <f t="shared" si="6"/>
        <v>2.8673952753646637</v>
      </c>
      <c r="Z57">
        <f t="shared" si="1"/>
        <v>0.29492878572081638</v>
      </c>
      <c r="AA57">
        <f t="shared" si="7"/>
        <v>2.8673952753646637</v>
      </c>
      <c r="AC57">
        <f t="shared" si="3"/>
        <v>1.0834569740405151</v>
      </c>
      <c r="AD57">
        <f t="shared" si="8"/>
        <v>2.8673952753646637</v>
      </c>
    </row>
    <row r="58" spans="11:30" x14ac:dyDescent="0.2">
      <c r="V58">
        <v>3.1</v>
      </c>
      <c r="W58">
        <f t="shared" si="0"/>
        <v>0.25924008023998585</v>
      </c>
      <c r="X58">
        <f t="shared" si="6"/>
        <v>2.8777646990802261</v>
      </c>
      <c r="Z58">
        <f t="shared" si="1"/>
        <v>0.28246820927733224</v>
      </c>
      <c r="AA58">
        <f t="shared" si="7"/>
        <v>2.8777646990802261</v>
      </c>
      <c r="AC58">
        <f t="shared" si="3"/>
        <v>1.0779863046900038</v>
      </c>
      <c r="AD58">
        <f t="shared" si="8"/>
        <v>2.8777646990802261</v>
      </c>
    </row>
    <row r="59" spans="11:30" x14ac:dyDescent="0.2">
      <c r="V59">
        <v>3.2</v>
      </c>
      <c r="W59">
        <f t="shared" si="0"/>
        <v>0.24998609539485159</v>
      </c>
      <c r="X59">
        <f t="shared" si="6"/>
        <v>2.8873341054457451</v>
      </c>
      <c r="Z59">
        <f t="shared" si="1"/>
        <v>0.27106043835414945</v>
      </c>
      <c r="AA59">
        <f t="shared" si="7"/>
        <v>2.8873341054457451</v>
      </c>
      <c r="AC59">
        <f t="shared" si="3"/>
        <v>1.0730383255815437</v>
      </c>
      <c r="AD59">
        <f t="shared" si="8"/>
        <v>2.8873341054457451</v>
      </c>
    </row>
    <row r="60" spans="11:30" x14ac:dyDescent="0.2">
      <c r="V60">
        <v>3.3</v>
      </c>
      <c r="W60">
        <f t="shared" si="0"/>
        <v>0.24139647712621118</v>
      </c>
      <c r="X60">
        <f t="shared" si="6"/>
        <v>2.8961953716373174</v>
      </c>
      <c r="Z60">
        <f t="shared" si="1"/>
        <v>0.26057664129413627</v>
      </c>
      <c r="AA60">
        <f t="shared" si="7"/>
        <v>2.8961953716373174</v>
      </c>
      <c r="AC60">
        <f t="shared" si="3"/>
        <v>1.0685485764034184</v>
      </c>
      <c r="AD60">
        <f t="shared" si="8"/>
        <v>2.8961953716373174</v>
      </c>
    </row>
    <row r="61" spans="11:30" x14ac:dyDescent="0.2">
      <c r="V61">
        <v>3.4</v>
      </c>
      <c r="W61">
        <f t="shared" si="0"/>
        <v>0.23340057130990641</v>
      </c>
      <c r="X61">
        <f t="shared" si="6"/>
        <v>2.9044266160609276</v>
      </c>
      <c r="Z61">
        <f t="shared" si="1"/>
        <v>0.25090801084529307</v>
      </c>
      <c r="AA61">
        <f t="shared" si="7"/>
        <v>2.9044266160609276</v>
      </c>
      <c r="AC61">
        <f t="shared" si="3"/>
        <v>1.0644621761746902</v>
      </c>
      <c r="AD61">
        <f t="shared" si="8"/>
        <v>2.9044266160609276</v>
      </c>
    </row>
    <row r="62" spans="11:30" x14ac:dyDescent="0.2">
      <c r="V62">
        <v>3.5</v>
      </c>
      <c r="W62">
        <f t="shared" si="0"/>
        <v>0.22593748994172089</v>
      </c>
      <c r="X62">
        <f t="shared" si="6"/>
        <v>2.9120946958232827</v>
      </c>
      <c r="Z62">
        <f t="shared" si="1"/>
        <v>0.24196207076151519</v>
      </c>
      <c r="AA62">
        <f t="shared" si="7"/>
        <v>2.9120946958232827</v>
      </c>
      <c r="AC62">
        <f t="shared" si="3"/>
        <v>1.060732184531356</v>
      </c>
      <c r="AD62">
        <f t="shared" si="8"/>
        <v>2.9120946958232827</v>
      </c>
    </row>
    <row r="63" spans="11:30" x14ac:dyDescent="0.2">
      <c r="V63">
        <v>3.6</v>
      </c>
      <c r="W63">
        <f t="shared" si="0"/>
        <v>0.2189544799388905</v>
      </c>
      <c r="X63">
        <f t="shared" si="6"/>
        <v>2.9192571789864949</v>
      </c>
      <c r="Z63">
        <f t="shared" si="1"/>
        <v>0.23365975871422945</v>
      </c>
      <c r="AA63">
        <f t="shared" si="7"/>
        <v>2.9192571789864949</v>
      </c>
      <c r="AC63">
        <f t="shared" si="3"/>
        <v>1.0573182747674286</v>
      </c>
      <c r="AD63">
        <f t="shared" si="8"/>
        <v>2.9192571789864949</v>
      </c>
    </row>
    <row r="64" spans="11:30" x14ac:dyDescent="0.2">
      <c r="V64">
        <v>3.7</v>
      </c>
      <c r="W64">
        <f t="shared" si="0"/>
        <v>0.2124056063742932</v>
      </c>
      <c r="X64">
        <f t="shared" si="6"/>
        <v>2.9259639157750152</v>
      </c>
      <c r="Z64">
        <f t="shared" si="1"/>
        <v>0.22593310447835377</v>
      </c>
      <c r="AA64">
        <f t="shared" si="7"/>
        <v>2.9259639157750152</v>
      </c>
      <c r="AC64">
        <f t="shared" si="3"/>
        <v>1.0541856546031401</v>
      </c>
      <c r="AD64">
        <f t="shared" si="8"/>
        <v>2.9259639157750152</v>
      </c>
    </row>
    <row r="65" spans="22:44" x14ac:dyDescent="0.2">
      <c r="V65">
        <v>3.8</v>
      </c>
      <c r="W65">
        <f t="shared" si="0"/>
        <v>0.20625068236152863</v>
      </c>
      <c r="X65">
        <f t="shared" si="6"/>
        <v>2.9322583005959522</v>
      </c>
      <c r="Z65">
        <f t="shared" si="1"/>
        <v>0.21872336830459824</v>
      </c>
      <c r="AA65">
        <f t="shared" si="7"/>
        <v>2.9322583005959522</v>
      </c>
      <c r="AC65">
        <f t="shared" si="3"/>
        <v>1.0513041844218121</v>
      </c>
      <c r="AD65">
        <f t="shared" si="8"/>
        <v>2.9322583005959522</v>
      </c>
    </row>
    <row r="66" spans="22:44" x14ac:dyDescent="0.2">
      <c r="V66">
        <v>3.9</v>
      </c>
      <c r="W66">
        <f t="shared" si="0"/>
        <v>0.20045439377590524</v>
      </c>
      <c r="X66">
        <f t="shared" si="6"/>
        <v>2.9381782935342553</v>
      </c>
      <c r="Z66">
        <f t="shared" si="1"/>
        <v>0.21197953783252194</v>
      </c>
      <c r="AA66">
        <f t="shared" si="7"/>
        <v>2.9381782935342553</v>
      </c>
      <c r="AC66">
        <f t="shared" si="3"/>
        <v>1.0486476535084559</v>
      </c>
      <c r="AD66">
        <f t="shared" si="8"/>
        <v>2.9381782935342553</v>
      </c>
    </row>
    <row r="67" spans="22:44" x14ac:dyDescent="0.2">
      <c r="V67">
        <v>4</v>
      </c>
      <c r="W67">
        <f t="shared" si="0"/>
        <v>0.19498557892750482</v>
      </c>
      <c r="X67">
        <f t="shared" si="6"/>
        <v>2.9437572531435916</v>
      </c>
      <c r="Z67">
        <f t="shared" si="1"/>
        <v>0.20565710644113422</v>
      </c>
      <c r="AA67">
        <f t="shared" si="7"/>
        <v>2.9437572531435916</v>
      </c>
      <c r="AC67">
        <f t="shared" si="3"/>
        <v>1.0461931832370759</v>
      </c>
      <c r="AD67">
        <f t="shared" si="8"/>
        <v>2.9437572531435916</v>
      </c>
    </row>
    <row r="68" spans="22:44" x14ac:dyDescent="0.2">
      <c r="V68">
        <v>4.0999999999999996</v>
      </c>
      <c r="W68">
        <f t="shared" si="0"/>
        <v>0.18981663227543294</v>
      </c>
      <c r="X68">
        <f t="shared" si="6"/>
        <v>2.9490246200031272</v>
      </c>
      <c r="Z68">
        <f t="shared" si="1"/>
        <v>0.19971707409240477</v>
      </c>
      <c r="AA68">
        <f t="shared" si="7"/>
        <v>2.9490246200031272</v>
      </c>
      <c r="AC68">
        <f t="shared" si="3"/>
        <v>1.0439207327022133</v>
      </c>
      <c r="AD68">
        <f t="shared" si="8"/>
        <v>2.9490246200031272</v>
      </c>
    </row>
    <row r="69" spans="22:44" x14ac:dyDescent="0.2">
      <c r="V69">
        <v>4.2</v>
      </c>
      <c r="W69">
        <f t="shared" si="0"/>
        <v>0.18492300806520884</v>
      </c>
      <c r="X69">
        <f t="shared" si="6"/>
        <v>2.9540064813642819</v>
      </c>
      <c r="Z69">
        <f t="shared" si="1"/>
        <v>0.194125125265945</v>
      </c>
      <c r="AA69">
        <f t="shared" si="7"/>
        <v>2.9540064813642819</v>
      </c>
      <c r="AC69">
        <f t="shared" si="3"/>
        <v>1.0418126873891453</v>
      </c>
      <c r="AD69">
        <f t="shared" si="8"/>
        <v>2.9540064813642819</v>
      </c>
    </row>
    <row r="70" spans="22:44" x14ac:dyDescent="0.2">
      <c r="V70">
        <v>4.3</v>
      </c>
      <c r="W70">
        <f t="shared" si="0"/>
        <v>0.18028280494789034</v>
      </c>
      <c r="X70">
        <f t="shared" si="6"/>
        <v>2.9587260403757631</v>
      </c>
      <c r="Z70">
        <f t="shared" si="1"/>
        <v>0.18885094876209294</v>
      </c>
      <c r="AA70">
        <f t="shared" si="7"/>
        <v>2.9587260403757631</v>
      </c>
      <c r="AC70">
        <f t="shared" si="3"/>
        <v>1.0398535154544801</v>
      </c>
      <c r="AD70">
        <f t="shared" si="8"/>
        <v>2.9587260403757631</v>
      </c>
    </row>
    <row r="71" spans="22:44" x14ac:dyDescent="0.2">
      <c r="V71">
        <v>4.4000000000000004</v>
      </c>
      <c r="W71">
        <f t="shared" si="0"/>
        <v>0.17587641661052847</v>
      </c>
      <c r="X71">
        <f t="shared" si="6"/>
        <v>2.9632040082213846</v>
      </c>
      <c r="Z71">
        <f t="shared" si="1"/>
        <v>0.18386767185870082</v>
      </c>
      <c r="AA71">
        <f t="shared" si="7"/>
        <v>2.9632040082213846</v>
      </c>
      <c r="AC71">
        <f t="shared" si="3"/>
        <v>1.0380294792999072</v>
      </c>
      <c r="AD71">
        <f t="shared" si="8"/>
        <v>2.9632040082213846</v>
      </c>
    </row>
    <row r="72" spans="22:44" x14ac:dyDescent="0.2">
      <c r="V72">
        <v>4.5</v>
      </c>
      <c r="W72">
        <f t="shared" si="0"/>
        <v>0.17168623651343812</v>
      </c>
      <c r="X72">
        <f t="shared" si="6"/>
        <v>2.9674589335872357</v>
      </c>
      <c r="Z72">
        <f t="shared" si="1"/>
        <v>0.17915138718611737</v>
      </c>
      <c r="AA72">
        <f t="shared" si="7"/>
        <v>2.9674589335872357</v>
      </c>
      <c r="AC72">
        <f t="shared" si="3"/>
        <v>1.0363283925634035</v>
      </c>
      <c r="AD72">
        <f t="shared" si="8"/>
        <v>2.9674589335872357</v>
      </c>
    </row>
    <row r="73" spans="22:44" x14ac:dyDescent="0.2">
      <c r="V73">
        <v>4.5999999999999996</v>
      </c>
      <c r="W73">
        <f t="shared" si="0"/>
        <v>0.16769640721182538</v>
      </c>
      <c r="X73">
        <f t="shared" si="6"/>
        <v>2.9715074808727708</v>
      </c>
      <c r="Z73">
        <f t="shared" si="1"/>
        <v>0.17468075520029619</v>
      </c>
      <c r="AA73">
        <f t="shared" si="7"/>
        <v>2.9715074808727708</v>
      </c>
      <c r="AC73">
        <f t="shared" si="3"/>
        <v>1.0347394145755169</v>
      </c>
      <c r="AD73">
        <f t="shared" si="8"/>
        <v>2.9715074808727708</v>
      </c>
    </row>
    <row r="74" spans="22:44" x14ac:dyDescent="0.2">
      <c r="V74">
        <v>4.7</v>
      </c>
      <c r="W74">
        <f t="shared" si="0"/>
        <v>0.16389260660143296</v>
      </c>
      <c r="X74">
        <f t="shared" si="6"/>
        <v>2.9753646662430935</v>
      </c>
      <c r="Z74">
        <f t="shared" si="1"/>
        <v>0.17043666862515006</v>
      </c>
      <c r="AA74">
        <f t="shared" si="7"/>
        <v>2.9753646662430935</v>
      </c>
      <c r="AC74">
        <f t="shared" si="3"/>
        <v>1.0332528758494566</v>
      </c>
      <c r="AD74">
        <f t="shared" si="8"/>
        <v>2.9753646662430935</v>
      </c>
    </row>
    <row r="75" spans="22:44" x14ac:dyDescent="0.2">
      <c r="V75">
        <v>4.8</v>
      </c>
      <c r="W75">
        <f t="shared" ref="W75:W116" si="9">(2*$U$4*V75)/((1-V75^2)^2+4*$U$4^2*V75^2)^0.5</f>
        <v>0.1602618648921979</v>
      </c>
      <c r="X75">
        <f t="shared" si="6"/>
        <v>2.9790440588181299</v>
      </c>
      <c r="Z75">
        <f t="shared" ref="Z75:Z116" si="10">(1+4*$U$4^2*V75^2)^0.5/((1-V75^2)^2+4*$U$4^2*V75^2)^0.5</f>
        <v>0.16640196795183401</v>
      </c>
      <c r="AA75">
        <f t="shared" si="7"/>
        <v>2.9790440588181299</v>
      </c>
      <c r="AC75">
        <f t="shared" ref="AC75:AC116" si="11">(V75*V75)/((1-V75^2)^2+4*$U$4^2*V75^2)^0.5</f>
        <v>1.0318601293816674</v>
      </c>
      <c r="AD75">
        <f t="shared" si="8"/>
        <v>2.9790440588181299</v>
      </c>
    </row>
    <row r="76" spans="22:44" ht="18" x14ac:dyDescent="0.25">
      <c r="V76">
        <v>4.9000000000000004</v>
      </c>
      <c r="W76">
        <f t="shared" si="9"/>
        <v>0.15679240727206836</v>
      </c>
      <c r="X76">
        <f t="shared" si="6"/>
        <v>2.9825579528843544</v>
      </c>
      <c r="Z76">
        <f t="shared" si="10"/>
        <v>0.16256119920944659</v>
      </c>
      <c r="AA76">
        <f t="shared" si="7"/>
        <v>2.9825579528843544</v>
      </c>
      <c r="AC76">
        <f t="shared" si="11"/>
        <v>1.0305534235028606</v>
      </c>
      <c r="AD76">
        <f t="shared" si="8"/>
        <v>2.9825579528843544</v>
      </c>
      <c r="AJ76" s="164" t="s">
        <v>46</v>
      </c>
      <c r="AK76" s="164" t="s">
        <v>49</v>
      </c>
      <c r="AL76" s="164" t="s">
        <v>47</v>
      </c>
      <c r="AM76" s="164" t="s">
        <v>352</v>
      </c>
      <c r="AN76" s="164" t="s">
        <v>35</v>
      </c>
      <c r="AO76" s="164" t="s">
        <v>35</v>
      </c>
      <c r="AP76" s="164" t="s">
        <v>48</v>
      </c>
      <c r="AR76" s="18" t="s">
        <v>95</v>
      </c>
    </row>
    <row r="77" spans="22:44" ht="21" x14ac:dyDescent="0.35">
      <c r="V77">
        <v>5</v>
      </c>
      <c r="W77">
        <f t="shared" si="9"/>
        <v>0.15347351814419319</v>
      </c>
      <c r="X77">
        <f t="shared" si="6"/>
        <v>2.985917515904005</v>
      </c>
      <c r="Z77">
        <f t="shared" si="10"/>
        <v>0.15890040689653112</v>
      </c>
      <c r="AA77">
        <f t="shared" si="7"/>
        <v>2.985917515904005</v>
      </c>
      <c r="AC77">
        <f t="shared" si="11"/>
        <v>1.0293257927908319</v>
      </c>
      <c r="AD77">
        <f t="shared" si="8"/>
        <v>2.985917515904005</v>
      </c>
      <c r="AJ77" s="164" t="s">
        <v>35</v>
      </c>
      <c r="AK77" s="164" t="s">
        <v>34</v>
      </c>
      <c r="AL77" s="164" t="s">
        <v>36</v>
      </c>
      <c r="AM77" s="164" t="s">
        <v>147</v>
      </c>
      <c r="AN77" s="164" t="s">
        <v>353</v>
      </c>
      <c r="AO77" s="164" t="s">
        <v>112</v>
      </c>
      <c r="AP77" s="165" t="s">
        <v>37</v>
      </c>
    </row>
    <row r="78" spans="22:44" ht="18" x14ac:dyDescent="0.25">
      <c r="V78">
        <v>5.0999999999999996</v>
      </c>
      <c r="W78">
        <f t="shared" si="9"/>
        <v>0.15029542355713807</v>
      </c>
      <c r="X78">
        <f t="shared" si="6"/>
        <v>2.9891329162164499</v>
      </c>
      <c r="Z78">
        <f t="shared" si="10"/>
        <v>0.15540695628921525</v>
      </c>
      <c r="AA78">
        <f t="shared" si="7"/>
        <v>2.9891329162164499</v>
      </c>
      <c r="AC78">
        <f t="shared" si="11"/>
        <v>1.0281709641766696</v>
      </c>
      <c r="AD78">
        <f t="shared" si="8"/>
        <v>2.9891329162164499</v>
      </c>
      <c r="AJ78" s="166">
        <v>250</v>
      </c>
      <c r="AK78" s="166">
        <v>20000</v>
      </c>
      <c r="AL78" s="166">
        <v>1667</v>
      </c>
      <c r="AM78" s="166">
        <v>60</v>
      </c>
      <c r="AN78" s="168">
        <v>1.2500000000000001E-2</v>
      </c>
      <c r="AO78" s="166">
        <v>30</v>
      </c>
      <c r="AP78" s="167">
        <f>2*3.1415*AM78/3.6/AO78</f>
        <v>3.4905555555555554</v>
      </c>
    </row>
    <row r="79" spans="22:44" x14ac:dyDescent="0.2">
      <c r="V79">
        <v>5.2</v>
      </c>
      <c r="W79">
        <f t="shared" si="9"/>
        <v>0.14724918903963288</v>
      </c>
      <c r="X79">
        <f t="shared" si="6"/>
        <v>2.9922134336246047</v>
      </c>
      <c r="Z79">
        <f t="shared" si="10"/>
        <v>0.15206938039803086</v>
      </c>
      <c r="AA79">
        <f t="shared" si="7"/>
        <v>2.9922134336246047</v>
      </c>
      <c r="AC79">
        <f t="shared" si="11"/>
        <v>1.0270832758767534</v>
      </c>
      <c r="AD79">
        <f t="shared" si="8"/>
        <v>2.9922134336246047</v>
      </c>
    </row>
    <row r="80" spans="22:44" x14ac:dyDescent="0.2">
      <c r="V80">
        <v>5.3</v>
      </c>
      <c r="W80">
        <f t="shared" si="9"/>
        <v>0.14432663052936476</v>
      </c>
      <c r="X80">
        <f t="shared" si="6"/>
        <v>2.9951675554967911</v>
      </c>
      <c r="Z80">
        <f t="shared" si="10"/>
        <v>0.14887724769084026</v>
      </c>
      <c r="AA80">
        <f t="shared" si="7"/>
        <v>2.9951675554967911</v>
      </c>
      <c r="AC80">
        <f t="shared" si="11"/>
        <v>1.0260576071889187</v>
      </c>
      <c r="AD80">
        <f t="shared" si="8"/>
        <v>2.9951675554967911</v>
      </c>
    </row>
    <row r="81" spans="22:30" x14ac:dyDescent="0.2">
      <c r="V81">
        <v>5.4</v>
      </c>
      <c r="W81">
        <f t="shared" si="9"/>
        <v>0.14152023647323847</v>
      </c>
      <c r="X81">
        <f t="shared" si="6"/>
        <v>2.998003060561099</v>
      </c>
      <c r="Z81">
        <f t="shared" si="10"/>
        <v>0.1458210473793167</v>
      </c>
      <c r="AA81">
        <f t="shared" si="7"/>
        <v>2.998003060561099</v>
      </c>
      <c r="AC81">
        <f t="shared" si="11"/>
        <v>1.0250893175215563</v>
      </c>
      <c r="AD81">
        <f t="shared" si="8"/>
        <v>2.998003060561099</v>
      </c>
    </row>
    <row r="82" spans="22:30" x14ac:dyDescent="0.2">
      <c r="V82">
        <v>5.5</v>
      </c>
      <c r="W82">
        <f t="shared" si="9"/>
        <v>0.13882309949276167</v>
      </c>
      <c r="X82">
        <f t="shared" si="6"/>
        <v>3.0007270922021281</v>
      </c>
      <c r="Z82">
        <f t="shared" si="10"/>
        <v>0.14289208961605529</v>
      </c>
      <c r="AA82">
        <f t="shared" si="7"/>
        <v>3.0007270922021281</v>
      </c>
      <c r="AC82">
        <f t="shared" si="11"/>
        <v>1.0241741932943458</v>
      </c>
      <c r="AD82">
        <f t="shared" si="8"/>
        <v>3.0007270922021281</v>
      </c>
    </row>
    <row r="83" spans="22:30" x14ac:dyDescent="0.2">
      <c r="V83">
        <v>5.6</v>
      </c>
      <c r="W83">
        <f t="shared" si="9"/>
        <v>0.13622885626715686</v>
      </c>
      <c r="X83">
        <f t="shared" si="6"/>
        <v>3.0033462227711394</v>
      </c>
      <c r="Z83">
        <f t="shared" si="10"/>
        <v>0.14008241839567329</v>
      </c>
      <c r="AA83">
        <f t="shared" si="7"/>
        <v>3.0033462227711394</v>
      </c>
      <c r="AC83">
        <f t="shared" si="11"/>
        <v>1.0233084015706666</v>
      </c>
      <c r="AD83">
        <f t="shared" si="8"/>
        <v>3.0033462227711394</v>
      </c>
    </row>
    <row r="84" spans="22:30" x14ac:dyDescent="0.2">
      <c r="V84">
        <v>5.7</v>
      </c>
      <c r="W84">
        <f t="shared" si="9"/>
        <v>0.13373163449973688</v>
      </c>
      <c r="X84">
        <f t="shared" si="6"/>
        <v>3.0058665101762783</v>
      </c>
      <c r="Z84">
        <f t="shared" si="10"/>
        <v>0.13738473531723114</v>
      </c>
      <c r="AA84">
        <f t="shared" si="7"/>
        <v>3.0058665101762783</v>
      </c>
      <c r="AC84">
        <f t="shared" si="11"/>
        <v>1.022488449463909</v>
      </c>
      <c r="AD84">
        <f t="shared" si="8"/>
        <v>3.0058665101762783</v>
      </c>
    </row>
    <row r="85" spans="22:30" x14ac:dyDescent="0.2">
      <c r="V85">
        <v>5.8</v>
      </c>
      <c r="W85">
        <f t="shared" si="9"/>
        <v>0.13132600600889954</v>
      </c>
      <c r="X85">
        <f t="shared" si="6"/>
        <v>3.0082935478188086</v>
      </c>
      <c r="Z85">
        <f t="shared" si="10"/>
        <v>0.13479233266341348</v>
      </c>
      <c r="AA85">
        <f t="shared" si="7"/>
        <v>3.0082935478188086</v>
      </c>
      <c r="AC85">
        <f t="shared" si="11"/>
        <v>1.0217111485103674</v>
      </c>
      <c r="AD85">
        <f t="shared" si="8"/>
        <v>3.0082935478188086</v>
      </c>
    </row>
    <row r="86" spans="22:30" x14ac:dyDescent="0.2">
      <c r="V86">
        <v>5.9</v>
      </c>
      <c r="W86">
        <f t="shared" si="9"/>
        <v>0.12900694513083816</v>
      </c>
      <c r="X86">
        <f t="shared" si="6"/>
        <v>3.0106325087757582</v>
      </c>
      <c r="Z86">
        <f t="shared" si="10"/>
        <v>0.13229903449707073</v>
      </c>
      <c r="AA86">
        <f t="shared" si="7"/>
        <v>3.0106325087757582</v>
      </c>
      <c r="AC86">
        <f t="shared" si="11"/>
        <v>1.0209735833261091</v>
      </c>
      <c r="AD86">
        <f t="shared" si="8"/>
        <v>3.0106325087757582</v>
      </c>
    </row>
    <row r="87" spans="22:30" x14ac:dyDescent="0.2">
      <c r="V87">
        <v>6</v>
      </c>
      <c r="W87">
        <f t="shared" si="9"/>
        <v>0.12676979174233813</v>
      </c>
      <c r="X87">
        <f t="shared" si="6"/>
        <v>3.0128881849922431</v>
      </c>
      <c r="Z87">
        <f t="shared" si="10"/>
        <v>0.12989914467813624</v>
      </c>
      <c r="AA87">
        <f t="shared" si="7"/>
        <v>3.0128881849922431</v>
      </c>
      <c r="AC87">
        <f t="shared" si="11"/>
        <v>1.0202730839689007</v>
      </c>
      <c r="AD87">
        <f t="shared" si="8"/>
        <v>3.0128881849922431</v>
      </c>
    </row>
    <row r="88" spans="22:30" x14ac:dyDescent="0.2">
      <c r="V88">
        <v>6.1</v>
      </c>
      <c r="W88">
        <f t="shared" si="9"/>
        <v>0.12461021831330642</v>
      </c>
      <c r="X88">
        <f t="shared" si="6"/>
        <v>3.0150650221327293</v>
      </c>
      <c r="Z88">
        <f t="shared" si="10"/>
        <v>0.12758740087168868</v>
      </c>
      <c r="AA88">
        <f t="shared" si="7"/>
        <v>3.0150650221327293</v>
      </c>
      <c r="AC88">
        <f t="shared" si="11"/>
        <v>1.0196072015127884</v>
      </c>
      <c r="AD88">
        <f t="shared" si="8"/>
        <v>3.0150650221327293</v>
      </c>
    </row>
    <row r="89" spans="22:30" x14ac:dyDescent="0.2">
      <c r="V89">
        <v>6.2</v>
      </c>
      <c r="W89">
        <f t="shared" si="9"/>
        <v>0.12252420048356147</v>
      </c>
      <c r="X89">
        <f t="shared" si="6"/>
        <v>3.0171671506453408</v>
      </c>
      <c r="Z89">
        <f t="shared" si="10"/>
        <v>0.1253589337574704</v>
      </c>
      <c r="AA89">
        <f t="shared" si="7"/>
        <v>3.0171671506453408</v>
      </c>
      <c r="AC89">
        <f t="shared" si="11"/>
        <v>1.0189736864153256</v>
      </c>
      <c r="AD89">
        <f t="shared" si="8"/>
        <v>3.0171671506453408</v>
      </c>
    </row>
    <row r="90" spans="22:30" x14ac:dyDescent="0.2">
      <c r="V90">
        <v>6.3</v>
      </c>
      <c r="W90">
        <f t="shared" si="9"/>
        <v>0.12050799072978897</v>
      </c>
      <c r="X90">
        <f t="shared" si="6"/>
        <v>3.0191984135135952</v>
      </c>
      <c r="Z90">
        <f t="shared" si="10"/>
        <v>0.12320923076765211</v>
      </c>
      <c r="AA90">
        <f t="shared" si="7"/>
        <v>3.0191984135135952</v>
      </c>
      <c r="AC90">
        <f t="shared" si="11"/>
        <v>1.0183704693182078</v>
      </c>
      <c r="AD90">
        <f t="shared" si="8"/>
        <v>3.0191984135135952</v>
      </c>
    </row>
    <row r="91" spans="22:30" x14ac:dyDescent="0.2">
      <c r="V91">
        <v>6.4</v>
      </c>
      <c r="W91">
        <f t="shared" si="9"/>
        <v>0.11855809474879019</v>
      </c>
      <c r="X91">
        <f t="shared" si="6"/>
        <v>3.0211623911029606</v>
      </c>
      <c r="Z91">
        <f t="shared" si="10"/>
        <v>0.1211341037771968</v>
      </c>
      <c r="AA91">
        <f t="shared" si="7"/>
        <v>3.0211623911029606</v>
      </c>
      <c r="AC91">
        <f t="shared" si="11"/>
        <v>1.0177956439732434</v>
      </c>
      <c r="AD91">
        <f t="shared" si="8"/>
        <v>3.0211623911029606</v>
      </c>
    </row>
    <row r="92" spans="22:30" x14ac:dyDescent="0.2">
      <c r="V92">
        <v>6.5</v>
      </c>
      <c r="W92">
        <f t="shared" si="9"/>
        <v>0.11667125023412019</v>
      </c>
      <c r="X92">
        <f t="shared" si="6"/>
        <v>3.0230624234531027</v>
      </c>
      <c r="Z92">
        <f t="shared" si="10"/>
        <v>0.11912966025316223</v>
      </c>
      <c r="AA92">
        <f t="shared" si="7"/>
        <v>3.0230624234531027</v>
      </c>
      <c r="AC92">
        <f t="shared" si="11"/>
        <v>1.0172474520287802</v>
      </c>
      <c r="AD92">
        <f t="shared" si="8"/>
        <v>3.0230624234531027</v>
      </c>
    </row>
    <row r="93" spans="22:30" x14ac:dyDescent="0.2">
      <c r="V93">
        <v>6.6</v>
      </c>
      <c r="W93">
        <f t="shared" si="9"/>
        <v>0.11484440776648315</v>
      </c>
      <c r="X93">
        <f t="shared" si="6"/>
        <v>3.024901630318884</v>
      </c>
      <c r="Z93">
        <f t="shared" si="10"/>
        <v>0.11719227743839611</v>
      </c>
      <c r="AA93">
        <f t="shared" si="7"/>
        <v>3.024901630318884</v>
      </c>
      <c r="AC93">
        <f t="shared" si="11"/>
        <v>1.0167242694482923</v>
      </c>
      <c r="AD93">
        <f t="shared" si="8"/>
        <v>3.024901630318884</v>
      </c>
    </row>
    <row r="94" spans="22:30" x14ac:dyDescent="0.2">
      <c r="V94">
        <v>6.7</v>
      </c>
      <c r="W94">
        <f t="shared" si="9"/>
        <v>0.1130747135750968</v>
      </c>
      <c r="X94">
        <f t="shared" ref="X94:X116" si="12">ATAN((2*$U$4*V94)/(1-V94^2))+3.14</f>
        <v>3.0266829292225719</v>
      </c>
      <c r="Z94">
        <f t="shared" si="10"/>
        <v>0.11531857920352273</v>
      </c>
      <c r="AA94">
        <f t="shared" ref="AA94:AA116" si="13">ATAN(2*$U$4*V94/(1-V94^2))+3.14</f>
        <v>3.0266829292225719</v>
      </c>
      <c r="AC94">
        <f t="shared" si="11"/>
        <v>1.0162245943638708</v>
      </c>
      <c r="AD94">
        <f t="shared" ref="AD94:AD116" si="14">ATAN((2*$U$4*V94)/(1-V94^2))+3.14</f>
        <v>3.0266829292225719</v>
      </c>
    </row>
    <row r="95" spans="22:30" x14ac:dyDescent="0.2">
      <c r="V95">
        <v>6.8</v>
      </c>
      <c r="W95">
        <f t="shared" si="9"/>
        <v>0.11135949395869764</v>
      </c>
      <c r="X95">
        <f t="shared" si="12"/>
        <v>3.0284090517451832</v>
      </c>
      <c r="Z95">
        <f t="shared" si="10"/>
        <v>0.11350541525068543</v>
      </c>
      <c r="AA95">
        <f t="shared" si="13"/>
        <v>3.0284090517451832</v>
      </c>
      <c r="AC95">
        <f t="shared" si="11"/>
        <v>1.0157470361937915</v>
      </c>
      <c r="AD95">
        <f t="shared" si="14"/>
        <v>3.0284090517451832</v>
      </c>
    </row>
    <row r="96" spans="22:30" x14ac:dyDescent="0.2">
      <c r="V96">
        <v>6.9</v>
      </c>
      <c r="W96">
        <f t="shared" si="9"/>
        <v>0.10969624118179835</v>
      </c>
      <c r="X96">
        <f t="shared" si="12"/>
        <v>3.0300825582553612</v>
      </c>
      <c r="Z96">
        <f t="shared" si="10"/>
        <v>0.11174984239466931</v>
      </c>
      <c r="AA96">
        <f t="shared" si="13"/>
        <v>3.0300825582553612</v>
      </c>
      <c r="AC96">
        <f t="shared" si="11"/>
        <v>1.0152903058758966</v>
      </c>
      <c r="AD96">
        <f t="shared" si="14"/>
        <v>3.0300825582553612</v>
      </c>
    </row>
    <row r="97" spans="22:30" x14ac:dyDescent="0.2">
      <c r="V97">
        <v>7</v>
      </c>
      <c r="W97">
        <f t="shared" si="9"/>
        <v>0.10808260068493546</v>
      </c>
      <c r="X97">
        <f t="shared" si="12"/>
        <v>3.0317058512489421</v>
      </c>
      <c r="Z97">
        <f t="shared" si="10"/>
        <v>0.11004910768298605</v>
      </c>
      <c r="AA97">
        <f t="shared" si="13"/>
        <v>3.0317058512489421</v>
      </c>
      <c r="AC97">
        <f t="shared" si="11"/>
        <v>1.0148532070878029</v>
      </c>
      <c r="AD97">
        <f t="shared" si="14"/>
        <v>3.0317058512489421</v>
      </c>
    </row>
    <row r="98" spans="22:30" x14ac:dyDescent="0.2">
      <c r="V98">
        <v>7.1</v>
      </c>
      <c r="W98">
        <f t="shared" si="9"/>
        <v>0.10651635946755265</v>
      </c>
      <c r="X98">
        <f t="shared" si="12"/>
        <v>3.0332811874506689</v>
      </c>
      <c r="Z98">
        <f t="shared" si="10"/>
        <v>0.10840063314725243</v>
      </c>
      <c r="AA98">
        <f t="shared" si="13"/>
        <v>3.0332811874506689</v>
      </c>
      <c r="AC98">
        <f t="shared" si="11"/>
        <v>1.0144346283415011</v>
      </c>
      <c r="AD98">
        <f t="shared" si="14"/>
        <v>3.0332811874506689</v>
      </c>
    </row>
    <row r="99" spans="22:30" x14ac:dyDescent="0.2">
      <c r="V99">
        <v>7.2</v>
      </c>
      <c r="W99">
        <f t="shared" si="9"/>
        <v>0.10499543551934415</v>
      </c>
      <c r="X99">
        <f t="shared" si="12"/>
        <v>3.034810688810841</v>
      </c>
      <c r="Z99">
        <f t="shared" si="10"/>
        <v>0.1068020020045634</v>
      </c>
      <c r="AA99">
        <f t="shared" si="13"/>
        <v>3.034810688810841</v>
      </c>
      <c r="AC99">
        <f t="shared" si="11"/>
        <v>1.0140335358541308</v>
      </c>
      <c r="AD99">
        <f t="shared" si="14"/>
        <v>3.034810688810841</v>
      </c>
    </row>
    <row r="100" spans="22:30" x14ac:dyDescent="0.2">
      <c r="V100">
        <v>7.3</v>
      </c>
      <c r="W100">
        <f t="shared" si="9"/>
        <v>0.10351786819074082</v>
      </c>
      <c r="X100">
        <f t="shared" si="12"/>
        <v>3.0362963525135847</v>
      </c>
      <c r="Z100">
        <f t="shared" si="10"/>
        <v>0.105250946150223</v>
      </c>
      <c r="AA100">
        <f t="shared" si="13"/>
        <v>3.0362963525135847</v>
      </c>
      <c r="AC100">
        <f t="shared" si="11"/>
        <v>1.0136489671089537</v>
      </c>
      <c r="AD100">
        <f t="shared" si="14"/>
        <v>3.0362963525135847</v>
      </c>
    </row>
    <row r="101" spans="22:30" x14ac:dyDescent="0.2">
      <c r="V101">
        <v>7.4</v>
      </c>
      <c r="W101">
        <f t="shared" si="9"/>
        <v>0.10208180940610538</v>
      </c>
      <c r="X101">
        <f t="shared" si="12"/>
        <v>3.0377400600994888</v>
      </c>
      <c r="Z101">
        <f t="shared" si="10"/>
        <v>0.1037453348027285</v>
      </c>
      <c r="AA101">
        <f t="shared" si="13"/>
        <v>3.0377400600994888</v>
      </c>
      <c r="AC101">
        <f t="shared" si="11"/>
        <v>1.0132800250311311</v>
      </c>
      <c r="AD101">
        <f t="shared" si="14"/>
        <v>3.0377400600994888</v>
      </c>
    </row>
    <row r="102" spans="22:30" x14ac:dyDescent="0.2">
      <c r="V102">
        <v>7.5</v>
      </c>
      <c r="W102">
        <f t="shared" si="9"/>
        <v>0.10068551563439807</v>
      </c>
      <c r="X102">
        <f t="shared" si="12"/>
        <v>3.0391435857932616</v>
      </c>
      <c r="Z102">
        <f t="shared" si="10"/>
        <v>0.10228316417877106</v>
      </c>
      <c r="AA102">
        <f t="shared" si="13"/>
        <v>3.0391435857932616</v>
      </c>
      <c r="AC102">
        <f t="shared" si="11"/>
        <v>1.0129258727120514</v>
      </c>
      <c r="AD102">
        <f t="shared" si="14"/>
        <v>3.0391435857932616</v>
      </c>
    </row>
    <row r="103" spans="22:30" x14ac:dyDescent="0.2">
      <c r="V103">
        <v>7.6</v>
      </c>
      <c r="W103">
        <f t="shared" si="9"/>
        <v>9.9327340541825668E-2</v>
      </c>
      <c r="X103">
        <f t="shared" si="12"/>
        <v>3.0405086041165643</v>
      </c>
      <c r="Z103">
        <f t="shared" si="10"/>
        <v>0.10086254809062173</v>
      </c>
      <c r="AA103">
        <f t="shared" si="13"/>
        <v>3.0405086041165643</v>
      </c>
      <c r="AC103">
        <f t="shared" si="11"/>
        <v>1.0125857286238913</v>
      </c>
      <c r="AD103">
        <f t="shared" si="14"/>
        <v>3.0405086041165643</v>
      </c>
    </row>
    <row r="104" spans="22:30" x14ac:dyDescent="0.2">
      <c r="V104">
        <v>7.7</v>
      </c>
      <c r="W104">
        <f t="shared" si="9"/>
        <v>9.8005728259495342E-2</v>
      </c>
      <c r="X104">
        <f t="shared" si="12"/>
        <v>3.0418366968570356</v>
      </c>
      <c r="Z104">
        <f t="shared" si="10"/>
        <v>9.9481709370941987E-2</v>
      </c>
      <c r="AA104">
        <f t="shared" si="13"/>
        <v>3.0418366968570356</v>
      </c>
      <c r="AC104">
        <f t="shared" si="11"/>
        <v>1.0122588622729749</v>
      </c>
      <c r="AD104">
        <f t="shared" si="14"/>
        <v>3.0418366968570356</v>
      </c>
    </row>
    <row r="105" spans="22:30" x14ac:dyDescent="0.2">
      <c r="V105">
        <v>7.8</v>
      </c>
      <c r="W105">
        <f t="shared" si="9"/>
        <v>9.6719207206538024E-2</v>
      </c>
      <c r="X105">
        <f t="shared" si="12"/>
        <v>3.0431293594565156</v>
      </c>
      <c r="Z105">
        <f t="shared" si="10"/>
        <v>9.8138972041078076E-2</v>
      </c>
      <c r="AA105">
        <f t="shared" si="13"/>
        <v>3.0431293594565156</v>
      </c>
      <c r="AC105">
        <f t="shared" si="11"/>
        <v>1.0119445902464974</v>
      </c>
      <c r="AD105">
        <f t="shared" si="14"/>
        <v>3.0431293594565156</v>
      </c>
    </row>
    <row r="106" spans="22:30" x14ac:dyDescent="0.2">
      <c r="V106">
        <v>7.9</v>
      </c>
      <c r="W106">
        <f t="shared" si="9"/>
        <v>9.546638441568836E-2</v>
      </c>
      <c r="X106">
        <f t="shared" si="12"/>
        <v>3.0443880068745113</v>
      </c>
      <c r="Z106">
        <f t="shared" si="10"/>
        <v>9.6832754148498526E-2</v>
      </c>
      <c r="AA106">
        <f t="shared" si="13"/>
        <v>3.0443880068745113</v>
      </c>
      <c r="AC106">
        <f t="shared" si="11"/>
        <v>1.0116422726124086</v>
      </c>
      <c r="AD106">
        <f t="shared" si="14"/>
        <v>3.0443880068745113</v>
      </c>
    </row>
    <row r="107" spans="22:30" x14ac:dyDescent="0.2">
      <c r="V107">
        <v>8</v>
      </c>
      <c r="W107">
        <f t="shared" si="9"/>
        <v>9.4245940314035659E-2</v>
      </c>
      <c r="X107">
        <f t="shared" si="12"/>
        <v>3.0456139789768142</v>
      </c>
      <c r="Z107">
        <f t="shared" si="10"/>
        <v>9.5561561207419862E-2</v>
      </c>
      <c r="AA107">
        <f t="shared" si="13"/>
        <v>3.0456139789768142</v>
      </c>
      <c r="AC107">
        <f t="shared" si="11"/>
        <v>1.0113513096368165</v>
      </c>
      <c r="AD107">
        <f t="shared" si="14"/>
        <v>3.0456139789768142</v>
      </c>
    </row>
    <row r="108" spans="22:30" x14ac:dyDescent="0.2">
      <c r="V108">
        <v>8.1</v>
      </c>
      <c r="W108">
        <f t="shared" si="9"/>
        <v>9.3056623916697334E-2</v>
      </c>
      <c r="X108">
        <f t="shared" si="12"/>
        <v>3.0468085454937954</v>
      </c>
      <c r="Z108">
        <f t="shared" si="10"/>
        <v>9.4323980183998776E-2</v>
      </c>
      <c r="AA108">
        <f t="shared" si="13"/>
        <v>3.0468085454937954</v>
      </c>
      <c r="AC108">
        <f t="shared" si="11"/>
        <v>1.0110711387872711</v>
      </c>
      <c r="AD108">
        <f t="shared" si="14"/>
        <v>3.0468085454937954</v>
      </c>
    </row>
    <row r="109" spans="22:30" x14ac:dyDescent="0.2">
      <c r="V109">
        <v>8.1999999999999993</v>
      </c>
      <c r="W109">
        <f t="shared" si="9"/>
        <v>9.1897248395608228E-2</v>
      </c>
      <c r="X109">
        <f t="shared" si="12"/>
        <v>3.0479729105881872</v>
      </c>
      <c r="Z109">
        <f t="shared" si="10"/>
        <v>9.3118673973900765E-2</v>
      </c>
      <c r="AA109">
        <f t="shared" si="13"/>
        <v>3.0479729105881872</v>
      </c>
      <c r="AC109">
        <f t="shared" si="11"/>
        <v>1.0108012319937976</v>
      </c>
      <c r="AD109">
        <f t="shared" si="14"/>
        <v>3.0479729105881872</v>
      </c>
    </row>
    <row r="110" spans="22:30" x14ac:dyDescent="0.2">
      <c r="V110">
        <v>8.3000000000000007</v>
      </c>
      <c r="W110">
        <f t="shared" si="9"/>
        <v>9.0766686989539061E-2</v>
      </c>
      <c r="X110">
        <f t="shared" si="12"/>
        <v>3.0491082170679666</v>
      </c>
      <c r="Z110">
        <f t="shared" si="10"/>
        <v>9.1944376325701474E-2</v>
      </c>
      <c r="AA110">
        <f t="shared" si="13"/>
        <v>3.0491082170679666</v>
      </c>
      <c r="AC110">
        <f t="shared" si="11"/>
        <v>1.0105410931426257</v>
      </c>
      <c r="AD110">
        <f t="shared" si="14"/>
        <v>3.0491082170679666</v>
      </c>
    </row>
    <row r="111" spans="22:30" x14ac:dyDescent="0.2">
      <c r="V111">
        <v>8.4</v>
      </c>
      <c r="W111">
        <f t="shared" si="9"/>
        <v>8.9663869224924725E-2</v>
      </c>
      <c r="X111">
        <f t="shared" si="12"/>
        <v>3.0502155502763015</v>
      </c>
      <c r="Z111">
        <f t="shared" si="10"/>
        <v>9.0799887168546048E-2</v>
      </c>
      <c r="AA111">
        <f t="shared" si="13"/>
        <v>3.0502155502763015</v>
      </c>
      <c r="AC111">
        <f t="shared" si="11"/>
        <v>1.0102902557802627</v>
      </c>
      <c r="AD111">
        <f t="shared" si="14"/>
        <v>3.0502155502763015</v>
      </c>
    </row>
    <row r="112" spans="22:30" x14ac:dyDescent="0.2">
      <c r="V112">
        <v>8.5</v>
      </c>
      <c r="W112">
        <f t="shared" si="9"/>
        <v>8.8587777420156694E-2</v>
      </c>
      <c r="X112">
        <f t="shared" si="12"/>
        <v>3.0512959416872216</v>
      </c>
      <c r="Z112">
        <f t="shared" si="10"/>
        <v>8.9684068306872103E-2</v>
      </c>
      <c r="AA112">
        <f t="shared" si="13"/>
        <v>3.0512959416872216</v>
      </c>
      <c r="AC112">
        <f t="shared" si="11"/>
        <v>1.0100482810079641</v>
      </c>
      <c r="AD112">
        <f t="shared" si="14"/>
        <v>3.0512959416872216</v>
      </c>
    </row>
    <row r="113" spans="22:30" x14ac:dyDescent="0.2">
      <c r="V113">
        <v>8.6</v>
      </c>
      <c r="W113">
        <f t="shared" si="9"/>
        <v>8.7537443448718555E-2</v>
      </c>
      <c r="X113">
        <f t="shared" si="12"/>
        <v>3.0523503722328313</v>
      </c>
      <c r="Z113">
        <f t="shared" si="10"/>
        <v>8.8595839448868369E-2</v>
      </c>
      <c r="AA113">
        <f t="shared" si="13"/>
        <v>3.0523503722328313</v>
      </c>
      <c r="AC113">
        <f t="shared" si="11"/>
        <v>1.0098147555487424</v>
      </c>
      <c r="AD113">
        <f t="shared" si="14"/>
        <v>3.0523503722328313</v>
      </c>
    </row>
    <row r="114" spans="22:30" x14ac:dyDescent="0.2">
      <c r="V114">
        <v>8.6999999999999993</v>
      </c>
      <c r="W114">
        <f t="shared" si="9"/>
        <v>8.6511945738968976E-2</v>
      </c>
      <c r="X114">
        <f t="shared" si="12"/>
        <v>3.0533797753852761</v>
      </c>
      <c r="Z114">
        <f t="shared" si="10"/>
        <v>8.7534174538762111E-2</v>
      </c>
      <c r="AA114">
        <f t="shared" si="13"/>
        <v>3.0533797753852761</v>
      </c>
      <c r="AC114">
        <f t="shared" si="11"/>
        <v>1.0095892899709289</v>
      </c>
      <c r="AD114">
        <f t="shared" si="14"/>
        <v>3.0533797753852761</v>
      </c>
    </row>
    <row r="115" spans="22:30" x14ac:dyDescent="0.2">
      <c r="V115">
        <v>8.8000000000000007</v>
      </c>
      <c r="W115">
        <f t="shared" si="9"/>
        <v>8.5510406490532542E-2</v>
      </c>
      <c r="X115">
        <f t="shared" si="12"/>
        <v>3.0543850400144237</v>
      </c>
      <c r="Z115">
        <f t="shared" si="10"/>
        <v>8.6498098366058346E-2</v>
      </c>
      <c r="AA115">
        <f t="shared" si="13"/>
        <v>3.0543850400144237</v>
      </c>
      <c r="AC115">
        <f t="shared" si="11"/>
        <v>1.009371517053951</v>
      </c>
      <c r="AD115">
        <f t="shared" si="14"/>
        <v>3.0543850400144237</v>
      </c>
    </row>
    <row r="116" spans="22:30" x14ac:dyDescent="0.2">
      <c r="V116">
        <v>8.9</v>
      </c>
      <c r="W116">
        <f t="shared" si="9"/>
        <v>8.4531989089183718E-2</v>
      </c>
      <c r="X116">
        <f t="shared" si="12"/>
        <v>3.0553670130401809</v>
      </c>
      <c r="Z116">
        <f t="shared" si="10"/>
        <v>8.5486683427543064E-2</v>
      </c>
      <c r="AA116">
        <f t="shared" si="13"/>
        <v>3.0553670130401809</v>
      </c>
      <c r="AC116">
        <f t="shared" si="11"/>
        <v>1.0091610902834431</v>
      </c>
      <c r="AD116">
        <f t="shared" si="14"/>
        <v>3.0553670130401809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24</vt:i4>
      </vt:variant>
    </vt:vector>
  </HeadingPairs>
  <TitlesOfParts>
    <vt:vector size="24" baseType="lpstr">
      <vt:lpstr>nyitólap</vt:lpstr>
      <vt:lpstr>D -től függő speciális esetek</vt:lpstr>
      <vt:lpstr>Elmélet</vt:lpstr>
      <vt:lpstr>Lagrange egyenlet</vt:lpstr>
      <vt:lpstr>csillapitatlan szabad lengés</vt:lpstr>
      <vt:lpstr>Csillapitott szabad rezgés</vt:lpstr>
      <vt:lpstr>Súrlódással csillapított rezgés</vt:lpstr>
      <vt:lpstr>csillapitott gerjesztett rezgés</vt:lpstr>
      <vt:lpstr>Különböző gerjesztési típusok</vt:lpstr>
      <vt:lpstr>rezonancia</vt:lpstr>
      <vt:lpstr>Többszabadságú lengőrendszerek </vt:lpstr>
      <vt:lpstr>M, S, K előállítása</vt:lpstr>
      <vt:lpstr>Csillapított függvények előáll.</vt:lpstr>
      <vt:lpstr>Modal analizis lépései</vt:lpstr>
      <vt:lpstr>Modal analizis mintapélda</vt:lpstr>
      <vt:lpstr>Segéd_modál_1</vt:lpstr>
      <vt:lpstr>Segéd Modál_2</vt:lpstr>
      <vt:lpstr>Segéd Modál_3</vt:lpstr>
      <vt:lpstr>két függvény összegzése</vt:lpstr>
      <vt:lpstr>két függvény_2</vt:lpstr>
      <vt:lpstr>Láncszerű lengőrendszerek</vt:lpstr>
      <vt:lpstr>Kötött láncszerű</vt:lpstr>
      <vt:lpstr>mindkét végén kötött láncszerű </vt:lpstr>
      <vt:lpstr>Kontinuum rezgések</vt:lpstr>
    </vt:vector>
  </TitlesOfParts>
  <Company>BME-MM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Star Plus</dc:creator>
  <cp:lastModifiedBy>GMTSZ-05</cp:lastModifiedBy>
  <dcterms:created xsi:type="dcterms:W3CDTF">2000-08-21T11:53:49Z</dcterms:created>
  <dcterms:modified xsi:type="dcterms:W3CDTF">2019-11-18T10:21:24Z</dcterms:modified>
</cp:coreProperties>
</file>