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mon\Documents\Egyéb\PTE 17-\Oktatás\PTE MIK\2021-22 2 MEH\számítási feladat\"/>
    </mc:Choice>
  </mc:AlternateContent>
  <xr:revisionPtr revIDLastSave="0" documentId="13_ncr:40009_{0506D644-469B-4AA2-A716-654D741C5826}" xr6:coauthVersionLast="47" xr6:coauthVersionMax="47" xr10:uidLastSave="{00000000-0000-0000-0000-000000000000}"/>
  <bookViews>
    <workbookView xWindow="-120" yWindow="-120" windowWidth="29040" windowHeight="15840"/>
  </bookViews>
  <sheets>
    <sheet name="2ver-megtak-vált.diszkontráta" sheetId="2" r:id="rId1"/>
  </sheets>
  <definedNames>
    <definedName name="_xlnm.Print_Area" localSheetId="0">'2ver-megtak-vált.diszkontráta'!$A$1:$T$36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D2" i="2"/>
  <c r="E6" i="2"/>
  <c r="E2" i="2" s="1"/>
  <c r="F6" i="2"/>
  <c r="F2" i="2" s="1"/>
  <c r="F29" i="2" s="1"/>
  <c r="G6" i="2"/>
  <c r="G2" i="2" s="1"/>
  <c r="H6" i="2"/>
  <c r="H2" i="2" s="1"/>
  <c r="I6" i="2"/>
  <c r="I2" i="2" s="1"/>
  <c r="J6" i="2"/>
  <c r="J2" i="2" s="1"/>
  <c r="J29" i="2" s="1"/>
  <c r="K6" i="2"/>
  <c r="K2" i="2" s="1"/>
  <c r="L6" i="2"/>
  <c r="L2" i="2" s="1"/>
  <c r="M6" i="2"/>
  <c r="M2" i="2" s="1"/>
  <c r="N6" i="2"/>
  <c r="N2" i="2" s="1"/>
  <c r="N29" i="2" s="1"/>
  <c r="O6" i="2"/>
  <c r="O2" i="2" s="1"/>
  <c r="P6" i="2"/>
  <c r="P2" i="2" s="1"/>
  <c r="Q6" i="2"/>
  <c r="Q2" i="2" s="1"/>
  <c r="R6" i="2"/>
  <c r="R2" i="2" s="1"/>
  <c r="R29" i="2" s="1"/>
  <c r="S6" i="2"/>
  <c r="S2" i="2" s="1"/>
  <c r="T6" i="2"/>
  <c r="T2" i="2" s="1"/>
  <c r="E44" i="2"/>
  <c r="F44" i="2" s="1"/>
  <c r="G44" i="2" s="1"/>
  <c r="H44" i="2" s="1"/>
  <c r="I44" i="2" s="1"/>
  <c r="J44" i="2" s="1"/>
  <c r="K44" i="2" s="1"/>
  <c r="L44" i="2" s="1"/>
  <c r="M44" i="2" s="1"/>
  <c r="N44" i="2" s="1"/>
  <c r="O44" i="2" s="1"/>
  <c r="P44" i="2" s="1"/>
  <c r="Q44" i="2" s="1"/>
  <c r="R44" i="2" s="1"/>
  <c r="S44" i="2" s="1"/>
  <c r="T44" i="2" s="1"/>
  <c r="L7" i="2"/>
  <c r="L43" i="2" s="1"/>
  <c r="M7" i="2"/>
  <c r="N7" i="2"/>
  <c r="N43" i="2" s="1"/>
  <c r="O7" i="2"/>
  <c r="O43" i="2" s="1"/>
  <c r="P7" i="2"/>
  <c r="P43" i="2"/>
  <c r="Q7" i="2"/>
  <c r="R7" i="2"/>
  <c r="R43" i="2" s="1"/>
  <c r="S7" i="2"/>
  <c r="S43" i="2" s="1"/>
  <c r="T7" i="2"/>
  <c r="T43" i="2" s="1"/>
  <c r="E41" i="2"/>
  <c r="F41" i="2" s="1"/>
  <c r="G41" i="2"/>
  <c r="H41" i="2" s="1"/>
  <c r="I41" i="2" s="1"/>
  <c r="J41" i="2" s="1"/>
  <c r="K41" i="2" s="1"/>
  <c r="L41" i="2" s="1"/>
  <c r="M41" i="2" s="1"/>
  <c r="N41" i="2" s="1"/>
  <c r="O41" i="2" s="1"/>
  <c r="P41" i="2" s="1"/>
  <c r="Q41" i="2" s="1"/>
  <c r="R41" i="2" s="1"/>
  <c r="S41" i="2" s="1"/>
  <c r="T41" i="2" s="1"/>
  <c r="N40" i="2"/>
  <c r="O40" i="2"/>
  <c r="P40" i="2"/>
  <c r="R40" i="2"/>
  <c r="S40" i="2"/>
  <c r="T40" i="2"/>
  <c r="K7" i="2"/>
  <c r="K40" i="2"/>
  <c r="K43" i="2"/>
  <c r="E7" i="2"/>
  <c r="E43" i="2" s="1"/>
  <c r="F7" i="2"/>
  <c r="F43" i="2" s="1"/>
  <c r="G7" i="2"/>
  <c r="G43" i="2" s="1"/>
  <c r="H7" i="2"/>
  <c r="H40" i="2" s="1"/>
  <c r="I7" i="2"/>
  <c r="I43" i="2" s="1"/>
  <c r="J7" i="2"/>
  <c r="J43" i="2" s="1"/>
  <c r="D7" i="2"/>
  <c r="D40" i="2" s="1"/>
  <c r="F40" i="2"/>
  <c r="I40" i="2"/>
  <c r="E29" i="2"/>
  <c r="I29" i="2"/>
  <c r="K29" i="2"/>
  <c r="L29" i="2"/>
  <c r="M29" i="2"/>
  <c r="O29" i="2"/>
  <c r="P29" i="2"/>
  <c r="Q29" i="2"/>
  <c r="T29" i="2"/>
  <c r="C29" i="2"/>
  <c r="C31" i="2" s="1"/>
  <c r="C2" i="2"/>
  <c r="E31" i="2" l="1"/>
  <c r="F31" i="2"/>
  <c r="J40" i="2"/>
  <c r="E40" i="2"/>
  <c r="L40" i="2"/>
  <c r="M43" i="2"/>
  <c r="M40" i="2"/>
  <c r="H29" i="2"/>
  <c r="H43" i="2"/>
  <c r="D29" i="2"/>
  <c r="S29" i="2"/>
  <c r="G40" i="2"/>
  <c r="Q43" i="2"/>
  <c r="Q40" i="2"/>
  <c r="G29" i="2"/>
  <c r="G31" i="2" s="1"/>
  <c r="D43" i="2"/>
  <c r="L31" i="2" l="1"/>
  <c r="I31" i="2"/>
  <c r="O31" i="2"/>
  <c r="S31" i="2"/>
  <c r="H31" i="2"/>
  <c r="K31" i="2"/>
  <c r="P31" i="2"/>
  <c r="T31" i="2"/>
  <c r="J31" i="2"/>
  <c r="N31" i="2"/>
  <c r="M31" i="2"/>
  <c r="R31" i="2"/>
  <c r="Q31" i="2"/>
  <c r="D31" i="2"/>
  <c r="G37" i="2"/>
  <c r="F37" i="2" s="1"/>
  <c r="K37" i="2" l="1"/>
  <c r="L37" i="2" s="1"/>
  <c r="L38" i="2" s="1"/>
  <c r="G38" i="2"/>
  <c r="F38" i="2" s="1"/>
  <c r="C32" i="2"/>
  <c r="C34" i="2" s="1"/>
</calcChain>
</file>

<file path=xl/sharedStrings.xml><?xml version="1.0" encoding="utf-8"?>
<sst xmlns="http://schemas.openxmlformats.org/spreadsheetml/2006/main" count="53" uniqueCount="52">
  <si>
    <t>Megnevezés</t>
  </si>
  <si>
    <t>Áram megtakarítás és eladás</t>
  </si>
  <si>
    <t>Hő megtakarítás és eladás</t>
  </si>
  <si>
    <t>Vágóhidi és ételmaradék megtakarítás és bevétel</t>
  </si>
  <si>
    <t>Mechanikai részek karbantartása</t>
  </si>
  <si>
    <t>Gázmotor karbantartása</t>
  </si>
  <si>
    <t>Kéntelenítés és levegőtiszítás</t>
  </si>
  <si>
    <t>Silókukorica költsége</t>
  </si>
  <si>
    <t>Egyéb költségek (elemzések, labor)</t>
  </si>
  <si>
    <t>Bevételek összesen</t>
  </si>
  <si>
    <t>Kiadások összesen</t>
  </si>
  <si>
    <t>Üzemanyagok költsége</t>
  </si>
  <si>
    <t>PB gáz a felfűtéshez</t>
  </si>
  <si>
    <t>Szállítási költségek</t>
  </si>
  <si>
    <t>Rezsi költségek</t>
  </si>
  <si>
    <t>Rendszerkarbantartás</t>
  </si>
  <si>
    <t>Reklám, marketing, kapcsolattartás</t>
  </si>
  <si>
    <t>Egyéb irodaköltség</t>
  </si>
  <si>
    <t>Könyvelés, könyvvizsgálat, ügyvédi költség</t>
  </si>
  <si>
    <t>Bankköltség</t>
  </si>
  <si>
    <t>Biztosítások</t>
  </si>
  <si>
    <t>Személyi jellegű költségek (bérek és járulékai)</t>
  </si>
  <si>
    <t>Amortizáció</t>
  </si>
  <si>
    <t>Kamatok</t>
  </si>
  <si>
    <t>Adó</t>
  </si>
  <si>
    <t>Diszkont kamatláb</t>
  </si>
  <si>
    <t>Maradványérték</t>
  </si>
  <si>
    <t>Reálérték</t>
  </si>
  <si>
    <t>Nettó jelenérték (NPV)</t>
  </si>
  <si>
    <t>Pénzáram - Cashflow</t>
  </si>
  <si>
    <t>Belső megtérülési ráta (IRR)</t>
  </si>
  <si>
    <t>Jövedelmezőségi index (PI)</t>
  </si>
  <si>
    <t>Diszkontált megtérülési idő (DPP)</t>
  </si>
  <si>
    <t>Beruházás költsége</t>
  </si>
  <si>
    <t>&gt;1</t>
  </si>
  <si>
    <t>&gt;0</t>
  </si>
  <si>
    <t>&lt;15</t>
  </si>
  <si>
    <t>Egyszerű megtérülési idő</t>
  </si>
  <si>
    <t>Megtermelt biogáz (GJ/év)</t>
  </si>
  <si>
    <t>Villamos energia egységköltség (Ft/kWh)</t>
  </si>
  <si>
    <t>Hőenergia egységköltség (Ft/GJ)</t>
  </si>
  <si>
    <t>Megtermelt villamaos energia (kWh/év)</t>
  </si>
  <si>
    <t>Földgáz ára (Ft/GJ)</t>
  </si>
  <si>
    <t>Villamos energia ára Ft/kWh)</t>
  </si>
  <si>
    <t>Trágyakezelési megtakarítás (hígtrágya: 30 t/nap, 20 Ft/kg)</t>
  </si>
  <si>
    <t>5,15 év</t>
  </si>
  <si>
    <t>8,02 év</t>
  </si>
  <si>
    <t xml:space="preserve">Diszkontált egyszerű megtérülési idő </t>
  </si>
  <si>
    <t>9,17 év</t>
  </si>
  <si>
    <t>Diszkontráta</t>
  </si>
  <si>
    <t>8% és csökkenő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</si>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</sst>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0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5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/>
    <xf numFmtId="0" fontId="4" fillId="2" borderId="5" xfId="0" applyFont="1" applyFill="1" applyBorder="1"/>
    <xf numFmtId="0" fontId="4" fillId="2" borderId="1" xfId="0" applyFont="1" applyFill="1" applyBorder="1" applyAlignment="1">
      <alignment wrapText="1"/>
    </xf>
    <xf numFmtId="10" fontId="4" fillId="2" borderId="1" xfId="0" applyNumberFormat="1" applyFont="1" applyFill="1" applyBorder="1" applyAlignment="1">
      <alignment horizontal="center"/>
    </xf>
    <xf numFmtId="3" fontId="3" fillId="2" borderId="6" xfId="0" applyNumberFormat="1" applyFont="1" applyFill="1" applyBorder="1"/>
    <xf numFmtId="2" fontId="4" fillId="2" borderId="1" xfId="0" applyNumberFormat="1" applyFont="1" applyFill="1" applyBorder="1" applyAlignment="1">
      <alignment horizontal="center"/>
    </xf>
    <xf numFmtId="2" fontId="3" fillId="2" borderId="6" xfId="0" applyNumberFormat="1" applyFont="1" applyFill="1" applyBorder="1"/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3" fontId="4" fillId="2" borderId="8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3" fontId="4" fillId="0" borderId="1" xfId="0" applyNumberFormat="1" applyFont="1" applyBorder="1"/>
    <xf numFmtId="166" fontId="3" fillId="0" borderId="1" xfId="0" applyNumberFormat="1" applyFont="1" applyBorder="1"/>
    <xf numFmtId="0" fontId="4" fillId="0" borderId="9" xfId="0" applyFont="1" applyBorder="1"/>
    <xf numFmtId="0" fontId="4" fillId="0" borderId="9" xfId="0" applyFont="1" applyBorder="1" applyAlignment="1">
      <alignment wrapText="1"/>
    </xf>
    <xf numFmtId="3" fontId="4" fillId="0" borderId="9" xfId="0" applyNumberFormat="1" applyFont="1" applyBorder="1"/>
    <xf numFmtId="3" fontId="4" fillId="2" borderId="1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3" fontId="3" fillId="2" borderId="10" xfId="0" applyNumberFormat="1" applyFont="1" applyFill="1" applyBorder="1"/>
    <xf numFmtId="0" fontId="3" fillId="0" borderId="1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D35" sqref="D35"/>
    </sheetView>
  </sheetViews>
  <sheetFormatPr defaultRowHeight="12.75" x14ac:dyDescent="0.2"/>
  <cols>
    <col min="1" max="1" width="5.28515625" style="2" customWidth="1"/>
    <col min="2" max="2" width="24.85546875" style="7" customWidth="1"/>
    <col min="3" max="3" width="14.140625" style="2" bestFit="1" customWidth="1"/>
    <col min="4" max="5" width="11.28515625" style="2" bestFit="1" customWidth="1"/>
    <col min="6" max="6" width="11.85546875" style="2" bestFit="1" customWidth="1"/>
    <col min="7" max="7" width="12.28515625" style="2" customWidth="1"/>
    <col min="8" max="8" width="11.28515625" style="2" bestFit="1" customWidth="1"/>
    <col min="9" max="11" width="12.85546875" style="2" bestFit="1" customWidth="1"/>
    <col min="12" max="12" width="11.28515625" style="2" customWidth="1"/>
    <col min="13" max="14" width="11.28515625" style="2" bestFit="1" customWidth="1"/>
    <col min="15" max="15" width="12.85546875" style="2" bestFit="1" customWidth="1"/>
    <col min="16" max="16" width="12.7109375" style="2" customWidth="1"/>
    <col min="17" max="17" width="11.28515625" style="2" bestFit="1" customWidth="1"/>
    <col min="18" max="18" width="11.140625" style="2" customWidth="1"/>
    <col min="19" max="19" width="11.28515625" style="2" bestFit="1" customWidth="1"/>
    <col min="20" max="20" width="11.28515625" style="2" customWidth="1"/>
    <col min="21" max="21" width="9.140625" style="2"/>
  </cols>
  <sheetData>
    <row r="1" spans="1:21" x14ac:dyDescent="0.2">
      <c r="A1" s="25"/>
      <c r="B1" s="26" t="s">
        <v>0</v>
      </c>
      <c r="C1" s="25">
        <v>2010</v>
      </c>
      <c r="D1" s="25">
        <v>2011</v>
      </c>
      <c r="E1" s="25">
        <v>2012</v>
      </c>
      <c r="F1" s="25">
        <v>2013</v>
      </c>
      <c r="G1" s="25">
        <v>2014</v>
      </c>
      <c r="H1" s="25">
        <v>2015</v>
      </c>
      <c r="I1" s="25">
        <v>2016</v>
      </c>
      <c r="J1" s="25">
        <v>2017</v>
      </c>
      <c r="K1" s="25">
        <v>2018</v>
      </c>
      <c r="L1" s="25">
        <v>2019</v>
      </c>
      <c r="M1" s="25">
        <v>2020</v>
      </c>
      <c r="N1" s="25">
        <v>2021</v>
      </c>
      <c r="O1" s="25">
        <v>2022</v>
      </c>
      <c r="P1" s="25">
        <v>2023</v>
      </c>
      <c r="Q1" s="25">
        <v>2024</v>
      </c>
      <c r="R1" s="25">
        <v>2025</v>
      </c>
      <c r="S1" s="25">
        <v>2026</v>
      </c>
      <c r="T1" s="25">
        <v>2027</v>
      </c>
    </row>
    <row r="2" spans="1:21" s="1" customFormat="1" x14ac:dyDescent="0.2">
      <c r="A2" s="9"/>
      <c r="B2" s="10" t="s">
        <v>9</v>
      </c>
      <c r="C2" s="27">
        <f>SUM(C3:C5)</f>
        <v>0</v>
      </c>
      <c r="D2" s="27">
        <f>SUM(D3:D6)</f>
        <v>229400000</v>
      </c>
      <c r="E2" s="27">
        <f t="shared" ref="E2:T2" si="0">SUM(E3:E6)</f>
        <v>735100000</v>
      </c>
      <c r="F2" s="27">
        <f t="shared" si="0"/>
        <v>734880000</v>
      </c>
      <c r="G2" s="27">
        <f t="shared" si="0"/>
        <v>736224000</v>
      </c>
      <c r="H2" s="27">
        <f t="shared" si="0"/>
        <v>739131449</v>
      </c>
      <c r="I2" s="27">
        <f t="shared" si="0"/>
        <v>743605710</v>
      </c>
      <c r="J2" s="27">
        <f t="shared" si="0"/>
        <v>749654047</v>
      </c>
      <c r="K2" s="27">
        <f t="shared" si="0"/>
        <v>757287651</v>
      </c>
      <c r="L2" s="27">
        <f t="shared" si="0"/>
        <v>766521639</v>
      </c>
      <c r="M2" s="27">
        <f t="shared" si="0"/>
        <v>777375097</v>
      </c>
      <c r="N2" s="27">
        <f t="shared" si="0"/>
        <v>789871107</v>
      </c>
      <c r="O2" s="27">
        <f t="shared" si="0"/>
        <v>804036807</v>
      </c>
      <c r="P2" s="27">
        <f t="shared" si="0"/>
        <v>819903434</v>
      </c>
      <c r="Q2" s="27">
        <f t="shared" si="0"/>
        <v>837506402</v>
      </c>
      <c r="R2" s="27">
        <f t="shared" si="0"/>
        <v>856885380</v>
      </c>
      <c r="S2" s="27">
        <f t="shared" si="0"/>
        <v>878084373</v>
      </c>
      <c r="T2" s="27">
        <f t="shared" si="0"/>
        <v>901151831</v>
      </c>
      <c r="U2" s="3"/>
    </row>
    <row r="3" spans="1:21" x14ac:dyDescent="0.2">
      <c r="A3" s="25">
        <v>1</v>
      </c>
      <c r="B3" s="26" t="s">
        <v>1</v>
      </c>
      <c r="C3" s="25"/>
      <c r="D3" s="11">
        <v>62775000</v>
      </c>
      <c r="E3" s="11">
        <v>251100000</v>
      </c>
      <c r="F3" s="11">
        <v>263655000</v>
      </c>
      <c r="G3" s="11">
        <v>276837750</v>
      </c>
      <c r="H3" s="11">
        <v>290679637</v>
      </c>
      <c r="I3" s="11">
        <v>305213619</v>
      </c>
      <c r="J3" s="11">
        <v>320474300</v>
      </c>
      <c r="K3" s="11">
        <v>336498015</v>
      </c>
      <c r="L3" s="11">
        <v>353322916</v>
      </c>
      <c r="M3" s="11">
        <v>370989062</v>
      </c>
      <c r="N3" s="11">
        <v>389538515</v>
      </c>
      <c r="O3" s="11">
        <v>409015441</v>
      </c>
      <c r="P3" s="11">
        <v>429466213</v>
      </c>
      <c r="Q3" s="11">
        <v>450939523</v>
      </c>
      <c r="R3" s="11">
        <v>473486500</v>
      </c>
      <c r="S3" s="11">
        <v>497160825</v>
      </c>
      <c r="T3" s="11">
        <v>522018866</v>
      </c>
    </row>
    <row r="4" spans="1:21" x14ac:dyDescent="0.2">
      <c r="A4" s="25">
        <v>2</v>
      </c>
      <c r="B4" s="26" t="s">
        <v>2</v>
      </c>
      <c r="C4" s="25"/>
      <c r="D4" s="11">
        <v>14875000</v>
      </c>
      <c r="E4" s="11">
        <v>59500000</v>
      </c>
      <c r="F4" s="11">
        <v>62475000</v>
      </c>
      <c r="G4" s="11">
        <v>65598750</v>
      </c>
      <c r="H4" s="11">
        <v>68878687</v>
      </c>
      <c r="I4" s="11">
        <v>72322622</v>
      </c>
      <c r="J4" s="11">
        <v>75938752</v>
      </c>
      <c r="K4" s="11">
        <v>79735690</v>
      </c>
      <c r="L4" s="11">
        <v>83722475</v>
      </c>
      <c r="M4" s="11">
        <v>87908599</v>
      </c>
      <c r="N4" s="11">
        <v>92304028</v>
      </c>
      <c r="O4" s="11">
        <v>96919230</v>
      </c>
      <c r="P4" s="11">
        <v>101765192</v>
      </c>
      <c r="Q4" s="11">
        <v>106853451</v>
      </c>
      <c r="R4" s="11">
        <v>112196124</v>
      </c>
      <c r="S4" s="11">
        <v>117805930</v>
      </c>
      <c r="T4" s="11">
        <v>123696227</v>
      </c>
    </row>
    <row r="5" spans="1:21" ht="25.5" x14ac:dyDescent="0.2">
      <c r="A5" s="25">
        <v>3</v>
      </c>
      <c r="B5" s="26" t="s">
        <v>3</v>
      </c>
      <c r="C5" s="25"/>
      <c r="D5" s="11">
        <v>78750000</v>
      </c>
      <c r="E5" s="11">
        <v>315000000</v>
      </c>
      <c r="F5" s="11">
        <v>299250000</v>
      </c>
      <c r="G5" s="11">
        <v>284287500</v>
      </c>
      <c r="H5" s="11">
        <v>270073125</v>
      </c>
      <c r="I5" s="11">
        <v>256569469</v>
      </c>
      <c r="J5" s="11">
        <v>243740995</v>
      </c>
      <c r="K5" s="11">
        <v>231553946</v>
      </c>
      <c r="L5" s="11">
        <v>219976248</v>
      </c>
      <c r="M5" s="11">
        <v>208977436</v>
      </c>
      <c r="N5" s="11">
        <v>198528564</v>
      </c>
      <c r="O5" s="11">
        <v>188602136</v>
      </c>
      <c r="P5" s="11">
        <v>179172029</v>
      </c>
      <c r="Q5" s="11">
        <v>170213428</v>
      </c>
      <c r="R5" s="11">
        <v>161702756</v>
      </c>
      <c r="S5" s="11">
        <v>153617618</v>
      </c>
      <c r="T5" s="11">
        <v>145936738</v>
      </c>
    </row>
    <row r="6" spans="1:21" ht="37.5" customHeight="1" x14ac:dyDescent="0.2">
      <c r="A6" s="35" t="s">
        <v>51</v>
      </c>
      <c r="B6" s="26" t="s">
        <v>44</v>
      </c>
      <c r="C6" s="25"/>
      <c r="D6" s="11">
        <f>20*1000*365*10</f>
        <v>73000000</v>
      </c>
      <c r="E6" s="11">
        <f t="shared" ref="E6:T6" si="1">30*1000*365*10</f>
        <v>109500000</v>
      </c>
      <c r="F6" s="11">
        <f t="shared" si="1"/>
        <v>109500000</v>
      </c>
      <c r="G6" s="11">
        <f t="shared" si="1"/>
        <v>109500000</v>
      </c>
      <c r="H6" s="11">
        <f t="shared" si="1"/>
        <v>109500000</v>
      </c>
      <c r="I6" s="11">
        <f t="shared" si="1"/>
        <v>109500000</v>
      </c>
      <c r="J6" s="11">
        <f t="shared" si="1"/>
        <v>109500000</v>
      </c>
      <c r="K6" s="11">
        <f t="shared" si="1"/>
        <v>109500000</v>
      </c>
      <c r="L6" s="11">
        <f t="shared" si="1"/>
        <v>109500000</v>
      </c>
      <c r="M6" s="11">
        <f t="shared" si="1"/>
        <v>109500000</v>
      </c>
      <c r="N6" s="11">
        <f t="shared" si="1"/>
        <v>109500000</v>
      </c>
      <c r="O6" s="11">
        <f t="shared" si="1"/>
        <v>109500000</v>
      </c>
      <c r="P6" s="11">
        <f t="shared" si="1"/>
        <v>109500000</v>
      </c>
      <c r="Q6" s="11">
        <f t="shared" si="1"/>
        <v>109500000</v>
      </c>
      <c r="R6" s="11">
        <f t="shared" si="1"/>
        <v>109500000</v>
      </c>
      <c r="S6" s="11">
        <f t="shared" si="1"/>
        <v>109500000</v>
      </c>
      <c r="T6" s="11">
        <f t="shared" si="1"/>
        <v>109500000</v>
      </c>
    </row>
    <row r="7" spans="1:21" s="1" customFormat="1" x14ac:dyDescent="0.2">
      <c r="A7" s="9"/>
      <c r="B7" s="10" t="s">
        <v>10</v>
      </c>
      <c r="C7" s="9"/>
      <c r="D7" s="27">
        <f t="shared" ref="D7:T7" si="2">SUM(D8:D25,D27)</f>
        <v>187609792</v>
      </c>
      <c r="E7" s="27">
        <f t="shared" si="2"/>
        <v>482269135</v>
      </c>
      <c r="F7" s="27">
        <f t="shared" si="2"/>
        <v>478894911</v>
      </c>
      <c r="G7" s="27">
        <f t="shared" si="2"/>
        <v>469613128</v>
      </c>
      <c r="H7" s="27">
        <f t="shared" si="2"/>
        <v>460195489</v>
      </c>
      <c r="I7" s="27">
        <f t="shared" si="2"/>
        <v>466764457</v>
      </c>
      <c r="J7" s="27">
        <f t="shared" si="2"/>
        <v>480562061</v>
      </c>
      <c r="K7" s="27">
        <f t="shared" si="2"/>
        <v>495229037</v>
      </c>
      <c r="L7" s="27">
        <f t="shared" si="2"/>
        <v>510689646</v>
      </c>
      <c r="M7" s="27">
        <f t="shared" si="2"/>
        <v>527111375</v>
      </c>
      <c r="N7" s="27">
        <f t="shared" si="2"/>
        <v>544595160</v>
      </c>
      <c r="O7" s="27">
        <f t="shared" si="2"/>
        <v>562925458</v>
      </c>
      <c r="P7" s="27">
        <f t="shared" si="2"/>
        <v>559659796</v>
      </c>
      <c r="Q7" s="27">
        <f t="shared" si="2"/>
        <v>511909424</v>
      </c>
      <c r="R7" s="27">
        <f t="shared" si="2"/>
        <v>533397301</v>
      </c>
      <c r="S7" s="27">
        <f t="shared" si="2"/>
        <v>556167852</v>
      </c>
      <c r="T7" s="27">
        <f t="shared" si="2"/>
        <v>623680340</v>
      </c>
      <c r="U7" s="3"/>
    </row>
    <row r="8" spans="1:21" ht="25.5" x14ac:dyDescent="0.2">
      <c r="A8" s="25">
        <v>4</v>
      </c>
      <c r="B8" s="26" t="s">
        <v>4</v>
      </c>
      <c r="C8" s="25"/>
      <c r="D8" s="11">
        <v>24200000</v>
      </c>
      <c r="E8" s="11">
        <v>64500000</v>
      </c>
      <c r="F8" s="11">
        <v>66435000</v>
      </c>
      <c r="G8" s="11">
        <v>68428050</v>
      </c>
      <c r="H8" s="11">
        <v>70480891</v>
      </c>
      <c r="I8" s="11">
        <v>72595318</v>
      </c>
      <c r="J8" s="11">
        <v>74773178</v>
      </c>
      <c r="K8" s="11">
        <v>77016373</v>
      </c>
      <c r="L8" s="11">
        <v>79326864</v>
      </c>
      <c r="M8" s="11">
        <v>81706670</v>
      </c>
      <c r="N8" s="11">
        <v>84157870</v>
      </c>
      <c r="O8" s="11">
        <v>86682606</v>
      </c>
      <c r="P8" s="11">
        <v>89283085</v>
      </c>
      <c r="Q8" s="11">
        <v>91961527</v>
      </c>
      <c r="R8" s="11">
        <v>94720425</v>
      </c>
      <c r="S8" s="11">
        <v>97562037</v>
      </c>
      <c r="T8" s="11">
        <v>100488098</v>
      </c>
    </row>
    <row r="9" spans="1:21" x14ac:dyDescent="0.2">
      <c r="A9" s="25">
        <v>5</v>
      </c>
      <c r="B9" s="26" t="s">
        <v>5</v>
      </c>
      <c r="C9" s="25"/>
      <c r="D9" s="11">
        <v>9776250</v>
      </c>
      <c r="E9" s="11">
        <v>39105000</v>
      </c>
      <c r="F9" s="11">
        <v>40278150</v>
      </c>
      <c r="G9" s="11">
        <v>41486494</v>
      </c>
      <c r="H9" s="11">
        <v>42731089</v>
      </c>
      <c r="I9" s="11">
        <v>44013022</v>
      </c>
      <c r="J9" s="11">
        <v>45333413</v>
      </c>
      <c r="K9" s="11">
        <v>46693415</v>
      </c>
      <c r="L9" s="11">
        <v>48094217</v>
      </c>
      <c r="M9" s="11">
        <v>49537044</v>
      </c>
      <c r="N9" s="11">
        <v>51023155</v>
      </c>
      <c r="O9" s="11">
        <v>52553850</v>
      </c>
      <c r="P9" s="11">
        <v>54130466</v>
      </c>
      <c r="Q9" s="11">
        <v>55754379</v>
      </c>
      <c r="R9" s="11">
        <v>57417011</v>
      </c>
      <c r="S9" s="11">
        <v>59149821</v>
      </c>
      <c r="T9" s="11">
        <v>60924316</v>
      </c>
    </row>
    <row r="10" spans="1:21" x14ac:dyDescent="0.2">
      <c r="A10" s="25">
        <v>6</v>
      </c>
      <c r="B10" s="26" t="s">
        <v>6</v>
      </c>
      <c r="C10" s="25"/>
      <c r="D10" s="11">
        <v>3490000</v>
      </c>
      <c r="E10" s="11">
        <v>7500000</v>
      </c>
      <c r="F10" s="11">
        <v>7725000</v>
      </c>
      <c r="G10" s="11">
        <v>7956750</v>
      </c>
      <c r="H10" s="11">
        <v>8195452</v>
      </c>
      <c r="I10" s="11">
        <v>8441316</v>
      </c>
      <c r="J10" s="11">
        <v>8694556</v>
      </c>
      <c r="K10" s="11">
        <v>8995392</v>
      </c>
      <c r="L10" s="11">
        <v>9224054</v>
      </c>
      <c r="M10" s="11">
        <v>9500776</v>
      </c>
      <c r="N10" s="11">
        <v>9875799</v>
      </c>
      <c r="O10" s="11">
        <v>10079373</v>
      </c>
      <c r="P10" s="11">
        <v>10381754</v>
      </c>
      <c r="Q10" s="11">
        <v>10693207</v>
      </c>
      <c r="R10" s="11">
        <v>11014003</v>
      </c>
      <c r="S10" s="11">
        <v>11344423</v>
      </c>
      <c r="T10" s="11">
        <v>11684756</v>
      </c>
    </row>
    <row r="11" spans="1:21" x14ac:dyDescent="0.2">
      <c r="A11" s="25">
        <v>7</v>
      </c>
      <c r="B11" s="26" t="s">
        <v>7</v>
      </c>
      <c r="C11" s="25"/>
      <c r="D11" s="11">
        <v>14000000</v>
      </c>
      <c r="E11" s="11">
        <v>99960000</v>
      </c>
      <c r="F11" s="11">
        <v>102958800</v>
      </c>
      <c r="G11" s="11">
        <v>106047564</v>
      </c>
      <c r="H11" s="11">
        <v>109228991</v>
      </c>
      <c r="I11" s="11">
        <v>112505860</v>
      </c>
      <c r="J11" s="11">
        <v>115881036</v>
      </c>
      <c r="K11" s="11">
        <v>119357468</v>
      </c>
      <c r="L11" s="11">
        <v>122938192</v>
      </c>
      <c r="M11" s="11">
        <v>126626337</v>
      </c>
      <c r="N11" s="11">
        <v>130425127</v>
      </c>
      <c r="O11" s="11">
        <v>134337881</v>
      </c>
      <c r="P11" s="11">
        <v>138368018</v>
      </c>
      <c r="Q11" s="11">
        <v>142519058</v>
      </c>
      <c r="R11" s="11">
        <v>146794630</v>
      </c>
      <c r="S11" s="11">
        <v>151198469</v>
      </c>
      <c r="T11" s="11">
        <v>155734423</v>
      </c>
    </row>
    <row r="12" spans="1:21" ht="25.5" x14ac:dyDescent="0.2">
      <c r="A12" s="25">
        <v>8</v>
      </c>
      <c r="B12" s="26" t="s">
        <v>8</v>
      </c>
      <c r="C12" s="25"/>
      <c r="D12" s="11">
        <v>4750000</v>
      </c>
      <c r="E12" s="11">
        <v>4750000</v>
      </c>
      <c r="F12" s="11">
        <v>4892500</v>
      </c>
      <c r="G12" s="11">
        <v>5039275</v>
      </c>
      <c r="H12" s="11">
        <v>5190453</v>
      </c>
      <c r="I12" s="11">
        <v>5346167</v>
      </c>
      <c r="J12" s="11">
        <v>5506552</v>
      </c>
      <c r="K12" s="11">
        <v>5671748</v>
      </c>
      <c r="L12" s="11">
        <v>5841901</v>
      </c>
      <c r="M12" s="11">
        <v>6017158</v>
      </c>
      <c r="N12" s="11">
        <v>6197672</v>
      </c>
      <c r="O12" s="11">
        <v>6383603</v>
      </c>
      <c r="P12" s="11">
        <v>6575111</v>
      </c>
      <c r="Q12" s="11">
        <v>6772364</v>
      </c>
      <c r="R12" s="11">
        <v>6975535</v>
      </c>
      <c r="S12" s="11">
        <v>7184801</v>
      </c>
      <c r="T12" s="11">
        <v>7400345</v>
      </c>
    </row>
    <row r="13" spans="1:21" x14ac:dyDescent="0.2">
      <c r="A13" s="25">
        <v>9</v>
      </c>
      <c r="B13" s="26" t="s">
        <v>11</v>
      </c>
      <c r="C13" s="25"/>
      <c r="D13" s="11">
        <v>1750000</v>
      </c>
      <c r="E13" s="11">
        <v>2500000</v>
      </c>
      <c r="F13" s="11">
        <v>2575000</v>
      </c>
      <c r="G13" s="11">
        <v>2652250</v>
      </c>
      <c r="H13" s="11">
        <v>2731817</v>
      </c>
      <c r="I13" s="11">
        <v>2813772</v>
      </c>
      <c r="J13" s="11">
        <v>2898185</v>
      </c>
      <c r="K13" s="11">
        <v>2985131</v>
      </c>
      <c r="L13" s="11">
        <v>3074685</v>
      </c>
      <c r="M13" s="11">
        <v>3166925</v>
      </c>
      <c r="N13" s="11">
        <v>3261933</v>
      </c>
      <c r="O13" s="11">
        <v>3359791</v>
      </c>
      <c r="P13" s="11">
        <v>3460585</v>
      </c>
      <c r="Q13" s="11">
        <v>3564402</v>
      </c>
      <c r="R13" s="11">
        <v>3671334</v>
      </c>
      <c r="S13" s="11">
        <v>3781474</v>
      </c>
      <c r="T13" s="11">
        <v>3894919</v>
      </c>
    </row>
    <row r="14" spans="1:21" x14ac:dyDescent="0.2">
      <c r="A14" s="25">
        <v>10</v>
      </c>
      <c r="B14" s="26" t="s">
        <v>12</v>
      </c>
      <c r="C14" s="25"/>
      <c r="D14" s="11">
        <v>750000</v>
      </c>
      <c r="E14" s="11">
        <v>750000</v>
      </c>
      <c r="F14" s="11">
        <v>772500</v>
      </c>
      <c r="G14" s="11">
        <v>795675</v>
      </c>
      <c r="H14" s="11">
        <v>819545</v>
      </c>
      <c r="I14" s="11">
        <v>844132</v>
      </c>
      <c r="J14" s="11">
        <v>869456</v>
      </c>
      <c r="K14" s="11">
        <v>895539</v>
      </c>
      <c r="L14" s="11">
        <v>922405</v>
      </c>
      <c r="M14" s="11">
        <v>950078</v>
      </c>
      <c r="N14" s="11">
        <v>978580</v>
      </c>
      <c r="O14" s="11">
        <v>1007837</v>
      </c>
      <c r="P14" s="11">
        <v>1038175</v>
      </c>
      <c r="Q14" s="11">
        <v>1069320</v>
      </c>
      <c r="R14" s="11">
        <v>1101400</v>
      </c>
      <c r="S14" s="11">
        <v>1134442</v>
      </c>
      <c r="T14" s="11">
        <v>1168476</v>
      </c>
    </row>
    <row r="15" spans="1:21" x14ac:dyDescent="0.2">
      <c r="A15" s="25">
        <v>11</v>
      </c>
      <c r="B15" s="26" t="s">
        <v>13</v>
      </c>
      <c r="C15" s="25"/>
      <c r="D15" s="11">
        <v>840000</v>
      </c>
      <c r="E15" s="11">
        <v>1200000</v>
      </c>
      <c r="F15" s="11">
        <v>1236000</v>
      </c>
      <c r="G15" s="11">
        <v>1273080</v>
      </c>
      <c r="H15" s="11">
        <v>1311272</v>
      </c>
      <c r="I15" s="11">
        <v>1350611</v>
      </c>
      <c r="J15" s="11">
        <v>1391129</v>
      </c>
      <c r="K15" s="11">
        <v>1432862</v>
      </c>
      <c r="L15" s="11">
        <v>1475849</v>
      </c>
      <c r="M15" s="11">
        <v>1520124</v>
      </c>
      <c r="N15" s="11">
        <v>1565728</v>
      </c>
      <c r="O15" s="11">
        <v>1612670</v>
      </c>
      <c r="P15" s="25">
        <v>1661081</v>
      </c>
      <c r="Q15" s="11">
        <v>1710913</v>
      </c>
      <c r="R15" s="11">
        <v>1762240</v>
      </c>
      <c r="S15" s="11">
        <v>1815108</v>
      </c>
      <c r="T15" s="11">
        <v>1869561</v>
      </c>
    </row>
    <row r="16" spans="1:21" x14ac:dyDescent="0.2">
      <c r="A16" s="25">
        <v>12</v>
      </c>
      <c r="B16" s="26" t="s">
        <v>14</v>
      </c>
      <c r="C16" s="25"/>
      <c r="D16" s="11">
        <v>360000</v>
      </c>
      <c r="E16" s="11">
        <v>600000</v>
      </c>
      <c r="F16" s="11">
        <v>618000</v>
      </c>
      <c r="G16" s="11">
        <v>636540</v>
      </c>
      <c r="H16" s="11">
        <v>655636</v>
      </c>
      <c r="I16" s="11">
        <v>675305</v>
      </c>
      <c r="J16" s="11">
        <v>695564</v>
      </c>
      <c r="K16" s="11">
        <v>716431</v>
      </c>
      <c r="L16" s="11">
        <v>737924</v>
      </c>
      <c r="M16" s="11">
        <v>760062</v>
      </c>
      <c r="N16" s="11">
        <v>782864</v>
      </c>
      <c r="O16" s="11">
        <v>806350</v>
      </c>
      <c r="P16" s="11">
        <v>830540</v>
      </c>
      <c r="Q16" s="11">
        <v>855457</v>
      </c>
      <c r="R16" s="11">
        <v>881120</v>
      </c>
      <c r="S16" s="11">
        <v>907554</v>
      </c>
      <c r="T16" s="11">
        <v>934780</v>
      </c>
    </row>
    <row r="17" spans="1:21" x14ac:dyDescent="0.2">
      <c r="A17" s="25">
        <v>13</v>
      </c>
      <c r="B17" s="26" t="s">
        <v>15</v>
      </c>
      <c r="C17" s="25"/>
      <c r="D17" s="11">
        <v>1200000</v>
      </c>
      <c r="E17" s="11">
        <v>1500000</v>
      </c>
      <c r="F17" s="11">
        <v>1545000</v>
      </c>
      <c r="G17" s="11">
        <v>1591350</v>
      </c>
      <c r="H17" s="11">
        <v>1639090</v>
      </c>
      <c r="I17" s="11">
        <v>1688263</v>
      </c>
      <c r="J17" s="11">
        <v>1738911</v>
      </c>
      <c r="K17" s="11">
        <v>1791078</v>
      </c>
      <c r="L17" s="11">
        <v>1844811</v>
      </c>
      <c r="M17" s="11">
        <v>1900155</v>
      </c>
      <c r="N17" s="11">
        <v>1957160</v>
      </c>
      <c r="O17" s="11">
        <v>2015875</v>
      </c>
      <c r="P17" s="11">
        <v>2076351</v>
      </c>
      <c r="Q17" s="11">
        <v>2138641</v>
      </c>
      <c r="R17" s="11">
        <v>2202801</v>
      </c>
      <c r="S17" s="11">
        <v>2268885</v>
      </c>
      <c r="T17" s="11">
        <v>2336951</v>
      </c>
    </row>
    <row r="18" spans="1:21" ht="25.5" x14ac:dyDescent="0.2">
      <c r="A18" s="25">
        <v>14</v>
      </c>
      <c r="B18" s="26" t="s">
        <v>16</v>
      </c>
      <c r="C18" s="25"/>
      <c r="D18" s="11">
        <v>1250000</v>
      </c>
      <c r="E18" s="11">
        <v>1250000</v>
      </c>
      <c r="F18" s="11">
        <v>1287500</v>
      </c>
      <c r="G18" s="11">
        <v>1326125</v>
      </c>
      <c r="H18" s="11">
        <v>1365909</v>
      </c>
      <c r="I18" s="11">
        <v>1406886</v>
      </c>
      <c r="J18" s="11">
        <v>1449093</v>
      </c>
      <c r="K18" s="11">
        <v>1492565</v>
      </c>
      <c r="L18" s="11">
        <v>1537342</v>
      </c>
      <c r="M18" s="11">
        <v>1583463</v>
      </c>
      <c r="N18" s="11">
        <v>1630966</v>
      </c>
      <c r="O18" s="11">
        <v>1679895</v>
      </c>
      <c r="P18" s="11">
        <v>1730292</v>
      </c>
      <c r="Q18" s="11">
        <v>1782201</v>
      </c>
      <c r="R18" s="11">
        <v>1835667</v>
      </c>
      <c r="S18" s="11">
        <v>1890737</v>
      </c>
      <c r="T18" s="11">
        <v>1947459</v>
      </c>
    </row>
    <row r="19" spans="1:21" x14ac:dyDescent="0.2">
      <c r="A19" s="25">
        <v>15</v>
      </c>
      <c r="B19" s="26" t="s">
        <v>17</v>
      </c>
      <c r="C19" s="25"/>
      <c r="D19" s="11">
        <v>1305000</v>
      </c>
      <c r="E19" s="11">
        <v>2175000</v>
      </c>
      <c r="F19" s="11">
        <v>2240250</v>
      </c>
      <c r="G19" s="11">
        <v>2307457</v>
      </c>
      <c r="H19" s="11">
        <v>2376681</v>
      </c>
      <c r="I19" s="11">
        <v>2447981</v>
      </c>
      <c r="J19" s="11">
        <v>2521421</v>
      </c>
      <c r="K19" s="11">
        <v>2597064</v>
      </c>
      <c r="L19" s="11">
        <v>2674976</v>
      </c>
      <c r="M19" s="11">
        <v>2755225</v>
      </c>
      <c r="N19" s="11">
        <v>2837882</v>
      </c>
      <c r="O19" s="11">
        <v>2923018</v>
      </c>
      <c r="P19" s="11">
        <v>3010709</v>
      </c>
      <c r="Q19" s="11">
        <v>3101030</v>
      </c>
      <c r="R19" s="11">
        <v>3194061</v>
      </c>
      <c r="S19" s="11">
        <v>3289883</v>
      </c>
      <c r="T19" s="11">
        <v>3388579</v>
      </c>
    </row>
    <row r="20" spans="1:21" ht="25.5" x14ac:dyDescent="0.2">
      <c r="A20" s="25">
        <v>16</v>
      </c>
      <c r="B20" s="26" t="s">
        <v>18</v>
      </c>
      <c r="C20" s="25"/>
      <c r="D20" s="11">
        <v>2400000</v>
      </c>
      <c r="E20" s="11">
        <v>4000000</v>
      </c>
      <c r="F20" s="11">
        <v>4120000</v>
      </c>
      <c r="G20" s="11">
        <v>4243600</v>
      </c>
      <c r="H20" s="11">
        <v>4370908</v>
      </c>
      <c r="I20" s="11">
        <v>4502035</v>
      </c>
      <c r="J20" s="11">
        <v>4637096</v>
      </c>
      <c r="K20" s="11">
        <v>4776209</v>
      </c>
      <c r="L20" s="11">
        <v>4919496</v>
      </c>
      <c r="M20" s="11">
        <v>5067080</v>
      </c>
      <c r="N20" s="11">
        <v>5219093</v>
      </c>
      <c r="O20" s="11">
        <v>5375666</v>
      </c>
      <c r="P20" s="11">
        <v>5536935</v>
      </c>
      <c r="Q20" s="11">
        <v>5703044</v>
      </c>
      <c r="R20" s="11">
        <v>5874135</v>
      </c>
      <c r="S20" s="11">
        <v>6050359</v>
      </c>
      <c r="T20" s="11">
        <v>6231870</v>
      </c>
    </row>
    <row r="21" spans="1:21" x14ac:dyDescent="0.2">
      <c r="A21" s="25">
        <v>17</v>
      </c>
      <c r="B21" s="26" t="s">
        <v>19</v>
      </c>
      <c r="C21" s="25"/>
      <c r="D21" s="11">
        <v>80000</v>
      </c>
      <c r="E21" s="11">
        <v>125000</v>
      </c>
      <c r="F21" s="11">
        <v>128750</v>
      </c>
      <c r="G21" s="11">
        <v>132612</v>
      </c>
      <c r="H21" s="11">
        <v>136590</v>
      </c>
      <c r="I21" s="11">
        <v>140689</v>
      </c>
      <c r="J21" s="11">
        <v>144909</v>
      </c>
      <c r="K21" s="11">
        <v>149256</v>
      </c>
      <c r="L21" s="11">
        <v>153734</v>
      </c>
      <c r="M21" s="11">
        <v>158346</v>
      </c>
      <c r="N21" s="11">
        <v>163097</v>
      </c>
      <c r="O21" s="11">
        <v>167990</v>
      </c>
      <c r="P21" s="11">
        <v>173029</v>
      </c>
      <c r="Q21" s="11">
        <v>178220</v>
      </c>
      <c r="R21" s="11">
        <v>183567</v>
      </c>
      <c r="S21" s="11">
        <v>189074</v>
      </c>
      <c r="T21" s="11">
        <v>194764</v>
      </c>
    </row>
    <row r="22" spans="1:21" x14ac:dyDescent="0.2">
      <c r="A22" s="25">
        <v>18</v>
      </c>
      <c r="B22" s="26" t="s">
        <v>20</v>
      </c>
      <c r="C22" s="25"/>
      <c r="D22" s="11">
        <v>4375000</v>
      </c>
      <c r="E22" s="11">
        <v>8750000</v>
      </c>
      <c r="F22" s="11">
        <v>9012500</v>
      </c>
      <c r="G22" s="11">
        <v>9282875</v>
      </c>
      <c r="H22" s="11">
        <v>9561361</v>
      </c>
      <c r="I22" s="11">
        <v>9848202</v>
      </c>
      <c r="J22" s="11">
        <v>10143648</v>
      </c>
      <c r="K22" s="11">
        <v>10447958</v>
      </c>
      <c r="L22" s="11">
        <v>10761396</v>
      </c>
      <c r="M22" s="11">
        <v>11084238</v>
      </c>
      <c r="N22" s="11">
        <v>11416765</v>
      </c>
      <c r="O22" s="11">
        <v>11759268</v>
      </c>
      <c r="P22" s="11">
        <v>12112046</v>
      </c>
      <c r="Q22" s="11">
        <v>12475408</v>
      </c>
      <c r="R22" s="11">
        <v>12849670</v>
      </c>
      <c r="S22" s="11">
        <v>13235160</v>
      </c>
      <c r="T22" s="11">
        <v>13632215</v>
      </c>
    </row>
    <row r="23" spans="1:21" ht="25.5" x14ac:dyDescent="0.2">
      <c r="A23" s="25">
        <v>19</v>
      </c>
      <c r="B23" s="26" t="s">
        <v>21</v>
      </c>
      <c r="C23" s="25"/>
      <c r="D23" s="11">
        <v>19320000</v>
      </c>
      <c r="E23" s="11">
        <v>32200000</v>
      </c>
      <c r="F23" s="11">
        <v>33649000</v>
      </c>
      <c r="G23" s="11">
        <v>35163205</v>
      </c>
      <c r="H23" s="11">
        <v>36745549</v>
      </c>
      <c r="I23" s="11">
        <v>38399099</v>
      </c>
      <c r="J23" s="11">
        <v>40127058</v>
      </c>
      <c r="K23" s="11">
        <v>41932776</v>
      </c>
      <c r="L23" s="11">
        <v>43819751</v>
      </c>
      <c r="M23" s="11">
        <v>45791640</v>
      </c>
      <c r="N23" s="11">
        <v>47852264</v>
      </c>
      <c r="O23" s="11">
        <v>50005615</v>
      </c>
      <c r="P23" s="11">
        <v>52255868</v>
      </c>
      <c r="Q23" s="11">
        <v>54607382</v>
      </c>
      <c r="R23" s="11">
        <v>57064714</v>
      </c>
      <c r="S23" s="11">
        <v>59632627</v>
      </c>
      <c r="T23" s="11">
        <v>62316095</v>
      </c>
    </row>
    <row r="24" spans="1:21" x14ac:dyDescent="0.2">
      <c r="A24" s="25">
        <v>20</v>
      </c>
      <c r="B24" s="26" t="s">
        <v>22</v>
      </c>
      <c r="C24" s="25"/>
      <c r="D24" s="11">
        <v>28463542</v>
      </c>
      <c r="E24" s="11">
        <v>113854167</v>
      </c>
      <c r="F24" s="11">
        <v>113854667</v>
      </c>
      <c r="G24" s="11">
        <v>113854667</v>
      </c>
      <c r="H24" s="11">
        <v>113854667</v>
      </c>
      <c r="I24" s="11">
        <v>113854667</v>
      </c>
      <c r="J24" s="11">
        <v>113854667</v>
      </c>
      <c r="K24" s="11">
        <v>113854667</v>
      </c>
      <c r="L24" s="11">
        <v>113854667</v>
      </c>
      <c r="M24" s="11">
        <v>113854667</v>
      </c>
      <c r="N24" s="11">
        <v>113854667</v>
      </c>
      <c r="O24" s="11">
        <v>113854667</v>
      </c>
      <c r="P24" s="11">
        <v>85390625</v>
      </c>
      <c r="Q24" s="11">
        <v>0</v>
      </c>
      <c r="R24" s="11">
        <v>0</v>
      </c>
      <c r="S24" s="11">
        <v>0</v>
      </c>
      <c r="T24" s="11">
        <v>0</v>
      </c>
    </row>
    <row r="25" spans="1:21" x14ac:dyDescent="0.2">
      <c r="A25" s="25">
        <v>21</v>
      </c>
      <c r="B25" s="26" t="s">
        <v>23</v>
      </c>
      <c r="C25" s="25"/>
      <c r="D25" s="11">
        <v>69300000</v>
      </c>
      <c r="E25" s="11">
        <v>69519700</v>
      </c>
      <c r="F25" s="11">
        <v>48944897</v>
      </c>
      <c r="G25" s="11">
        <v>28117717</v>
      </c>
      <c r="H25" s="11">
        <v>6440474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1" x14ac:dyDescent="0.2">
      <c r="A26" s="25">
        <v>22</v>
      </c>
      <c r="B26" s="26" t="s">
        <v>25</v>
      </c>
      <c r="C26" s="28">
        <v>1</v>
      </c>
      <c r="D26" s="28">
        <v>1.08</v>
      </c>
      <c r="E26" s="28">
        <v>1.08</v>
      </c>
      <c r="F26" s="28">
        <v>1.08</v>
      </c>
      <c r="G26" s="28">
        <v>1.0629999999999999</v>
      </c>
      <c r="H26" s="28">
        <v>1.0629999999999999</v>
      </c>
      <c r="I26" s="28">
        <v>1.0629999999999999</v>
      </c>
      <c r="J26" s="28">
        <v>1.05</v>
      </c>
      <c r="K26" s="28">
        <v>1.05</v>
      </c>
      <c r="L26" s="28">
        <v>1.05</v>
      </c>
      <c r="M26" s="28">
        <v>1.0429999999999999</v>
      </c>
      <c r="N26" s="28">
        <v>1.0429999999999999</v>
      </c>
      <c r="O26" s="28">
        <v>1.0429999999999999</v>
      </c>
      <c r="P26" s="28">
        <v>1.0429999999999999</v>
      </c>
      <c r="Q26" s="28">
        <v>1.0269999999999999</v>
      </c>
      <c r="R26" s="28">
        <v>1.0269999999999999</v>
      </c>
      <c r="S26" s="28">
        <v>1.0269999999999999</v>
      </c>
      <c r="T26" s="28">
        <v>1.0269999999999999</v>
      </c>
    </row>
    <row r="27" spans="1:21" x14ac:dyDescent="0.2">
      <c r="A27" s="25">
        <v>23</v>
      </c>
      <c r="B27" s="26" t="s">
        <v>24</v>
      </c>
      <c r="C27" s="11">
        <v>0</v>
      </c>
      <c r="D27" s="11">
        <v>0</v>
      </c>
      <c r="E27" s="11">
        <v>28030268</v>
      </c>
      <c r="F27" s="11">
        <v>36621397</v>
      </c>
      <c r="G27" s="11">
        <v>39277842</v>
      </c>
      <c r="H27" s="11">
        <v>42359114</v>
      </c>
      <c r="I27" s="25">
        <v>45891132</v>
      </c>
      <c r="J27" s="11">
        <v>49902189</v>
      </c>
      <c r="K27" s="11">
        <v>54423105</v>
      </c>
      <c r="L27" s="11">
        <v>59487382</v>
      </c>
      <c r="M27" s="11">
        <v>65131387</v>
      </c>
      <c r="N27" s="11">
        <v>71394538</v>
      </c>
      <c r="O27" s="11">
        <v>78319503</v>
      </c>
      <c r="P27" s="11">
        <v>91645126</v>
      </c>
      <c r="Q27" s="11">
        <v>117022871</v>
      </c>
      <c r="R27" s="11">
        <v>125854988</v>
      </c>
      <c r="S27" s="11">
        <v>135532998</v>
      </c>
      <c r="T27" s="11">
        <v>189532733</v>
      </c>
    </row>
    <row r="28" spans="1:21" x14ac:dyDescent="0.2">
      <c r="A28" s="9">
        <v>24</v>
      </c>
      <c r="B28" s="10" t="s">
        <v>33</v>
      </c>
      <c r="C28" s="27">
        <v>-1366500000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</row>
    <row r="29" spans="1:21" s="6" customFormat="1" x14ac:dyDescent="0.2">
      <c r="A29" s="9">
        <v>26</v>
      </c>
      <c r="B29" s="10" t="s">
        <v>29</v>
      </c>
      <c r="C29" s="27">
        <f>C28*C26</f>
        <v>-1366500000</v>
      </c>
      <c r="D29" s="27">
        <f t="shared" ref="D29:S29" si="3">D2-D7</f>
        <v>41790208</v>
      </c>
      <c r="E29" s="27">
        <f t="shared" si="3"/>
        <v>252830865</v>
      </c>
      <c r="F29" s="27">
        <f t="shared" si="3"/>
        <v>255985089</v>
      </c>
      <c r="G29" s="27">
        <f t="shared" si="3"/>
        <v>266610872</v>
      </c>
      <c r="H29" s="27">
        <f t="shared" si="3"/>
        <v>278935960</v>
      </c>
      <c r="I29" s="27">
        <f t="shared" si="3"/>
        <v>276841253</v>
      </c>
      <c r="J29" s="27">
        <f t="shared" si="3"/>
        <v>269091986</v>
      </c>
      <c r="K29" s="27">
        <f t="shared" si="3"/>
        <v>262058614</v>
      </c>
      <c r="L29" s="27">
        <f t="shared" si="3"/>
        <v>255831993</v>
      </c>
      <c r="M29" s="27">
        <f t="shared" si="3"/>
        <v>250263722</v>
      </c>
      <c r="N29" s="27">
        <f t="shared" si="3"/>
        <v>245275947</v>
      </c>
      <c r="O29" s="27">
        <f t="shared" si="3"/>
        <v>241111349</v>
      </c>
      <c r="P29" s="27">
        <f t="shared" si="3"/>
        <v>260243638</v>
      </c>
      <c r="Q29" s="27">
        <f t="shared" si="3"/>
        <v>325596978</v>
      </c>
      <c r="R29" s="27">
        <f t="shared" si="3"/>
        <v>323488079</v>
      </c>
      <c r="S29" s="27">
        <f t="shared" si="3"/>
        <v>321916521</v>
      </c>
      <c r="T29" s="27">
        <f>T2-T7+T30</f>
        <v>384096491</v>
      </c>
      <c r="U29" s="3"/>
    </row>
    <row r="30" spans="1:21" x14ac:dyDescent="0.2">
      <c r="A30" s="25">
        <v>27</v>
      </c>
      <c r="B30" s="26" t="s">
        <v>26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106625000</v>
      </c>
    </row>
    <row r="31" spans="1:21" s="6" customFormat="1" ht="13.5" thickBot="1" x14ac:dyDescent="0.25">
      <c r="A31" s="29">
        <v>28</v>
      </c>
      <c r="B31" s="30" t="s">
        <v>27</v>
      </c>
      <c r="C31" s="31">
        <f>C29*C26</f>
        <v>-1366500000</v>
      </c>
      <c r="D31" s="31">
        <f>D29/D26</f>
        <v>38694637.037037037</v>
      </c>
      <c r="E31" s="27">
        <f>E29/(D26*E26)</f>
        <v>216761715.5349794</v>
      </c>
      <c r="F31" s="27">
        <f>F29/(D26*E26*F26)</f>
        <v>203209216.86861756</v>
      </c>
      <c r="G31" s="27">
        <f>G29/(D26*E26*F26*G26)</f>
        <v>199100946.37827054</v>
      </c>
      <c r="H31" s="27">
        <f>H29/(D26*E26*F26*G26*H26)</f>
        <v>195959675.20163155</v>
      </c>
      <c r="I31" s="27">
        <f>I29/(D26*E26*F26*G26*H26*I26)</f>
        <v>182961514.33711877</v>
      </c>
      <c r="J31" s="27">
        <f>J29/(D26*E26*F26*G26*H26*I26*J26)</f>
        <v>169371527.7206443</v>
      </c>
      <c r="K31" s="27">
        <f>K29/(D26*E26*F26*G26*H26*I26*J26*K26)</f>
        <v>157090087.49267873</v>
      </c>
      <c r="L31" s="27">
        <f>L29/(D26*E26*F26*G26*H26*I26*J26*K26*L26)</f>
        <v>146054821.0238201</v>
      </c>
      <c r="M31" s="27">
        <f>M29/(D26*E26*F26*G26*H26*I26*J26*K26*L26*M26)</f>
        <v>136985510.82643718</v>
      </c>
      <c r="N31" s="27">
        <f>N29/(D26*E26*F26*G26*H26*I26*J26*K26*L26*M26*N26)</f>
        <v>128720401.90268011</v>
      </c>
      <c r="O31" s="27">
        <f>O29/(D26*E26*F26*G26*H26*I26*J26*K26*L26*M26*N26*O26)</f>
        <v>121318147.57437263</v>
      </c>
      <c r="P31" s="27">
        <f>P29/(D26*E26*F26*G26*H26*I26*J26*K26*L26*M26*N26*O26*P26)</f>
        <v>125546303.5857992</v>
      </c>
      <c r="Q31" s="27">
        <f>Q27/(D26*E26*F26*G26*H26*I26*J26*K26*L26*M26*N26*O26*P26*Q26)</f>
        <v>54969794.601522848</v>
      </c>
      <c r="R31" s="27">
        <f>R29/(D26*E26*F26*G26*H26*I26*J26*K26*L26*M26*N26*O26*P26*Q26*R26)</f>
        <v>147958937.0971953</v>
      </c>
      <c r="S31" s="27">
        <f>S29/(D26*E26*F26*G26*H26*I26*J26*K26*L26*M26*N26*O26*P26*Q26*R26*S26)</f>
        <v>143369161.03161281</v>
      </c>
      <c r="T31" s="27">
        <f>T29/(D26*E26*F26*G26*H26*I26*J26*K26*L26*M26*N26*O26*P26*Q26*R26*S26*T26)</f>
        <v>166564472.68663311</v>
      </c>
      <c r="U31" s="3"/>
    </row>
    <row r="32" spans="1:21" x14ac:dyDescent="0.2">
      <c r="A32" s="12">
        <v>29</v>
      </c>
      <c r="B32" s="13" t="s">
        <v>28</v>
      </c>
      <c r="C32" s="14">
        <f>SUM(C31:T31)</f>
        <v>1168136870.901051</v>
      </c>
      <c r="D32" s="15" t="s">
        <v>35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">
      <c r="A33" s="16">
        <v>30</v>
      </c>
      <c r="B33" s="17" t="s">
        <v>30</v>
      </c>
      <c r="C33" s="18">
        <v>0.1535</v>
      </c>
      <c r="D33" s="19" t="s">
        <v>35</v>
      </c>
      <c r="E33" s="4"/>
      <c r="F33" s="4" t="s">
        <v>49</v>
      </c>
      <c r="G33" s="4" t="s">
        <v>50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">
      <c r="A34" s="16">
        <v>31</v>
      </c>
      <c r="B34" s="17" t="s">
        <v>31</v>
      </c>
      <c r="C34" s="20">
        <f>(-C29+C32)/-C29</f>
        <v>1.8548385443842306</v>
      </c>
      <c r="D34" s="21" t="s">
        <v>34</v>
      </c>
      <c r="E34" s="5"/>
      <c r="F34" s="5"/>
      <c r="G34" s="5"/>
      <c r="H34" s="5"/>
      <c r="I34" s="5"/>
      <c r="J34" s="5"/>
      <c r="K34" s="5"/>
      <c r="L34" s="5"/>
      <c r="M34" s="5"/>
      <c r="N34" s="5"/>
      <c r="Q34" s="5"/>
      <c r="R34" s="5"/>
      <c r="S34" s="5"/>
      <c r="T34" s="5"/>
    </row>
    <row r="35" spans="1:20" ht="25.5" x14ac:dyDescent="0.2">
      <c r="A35" s="16">
        <v>32</v>
      </c>
      <c r="B35" s="17" t="s">
        <v>32</v>
      </c>
      <c r="C35" s="32" t="s">
        <v>46</v>
      </c>
      <c r="D35" s="19" t="s">
        <v>36</v>
      </c>
      <c r="E35" s="4"/>
      <c r="F35" s="4"/>
      <c r="G35" s="4"/>
      <c r="H35" s="4"/>
      <c r="I35" s="4"/>
      <c r="J35" s="4"/>
      <c r="K35" s="4"/>
      <c r="L35" s="4"/>
      <c r="M35" s="4"/>
      <c r="N35" s="4"/>
      <c r="Q35" s="4"/>
      <c r="R35" s="4"/>
      <c r="S35" s="4"/>
      <c r="T35" s="4"/>
    </row>
    <row r="36" spans="1:20" x14ac:dyDescent="0.2">
      <c r="A36" s="16">
        <v>33</v>
      </c>
      <c r="B36" s="17" t="s">
        <v>37</v>
      </c>
      <c r="C36" s="32" t="s">
        <v>45</v>
      </c>
      <c r="D36" s="33"/>
      <c r="E36" s="4"/>
      <c r="F36" s="4"/>
      <c r="G36" s="4"/>
      <c r="H36" s="4"/>
      <c r="I36" s="4"/>
      <c r="J36" s="4"/>
      <c r="K36" s="4"/>
      <c r="L36" s="4"/>
      <c r="M36" s="4"/>
      <c r="N36" s="4"/>
      <c r="Q36" s="4"/>
      <c r="R36" s="4"/>
      <c r="S36" s="4"/>
      <c r="T36" s="4"/>
    </row>
    <row r="37" spans="1:20" ht="26.25" thickBot="1" x14ac:dyDescent="0.25">
      <c r="A37" s="22">
        <v>34</v>
      </c>
      <c r="B37" s="23" t="s">
        <v>47</v>
      </c>
      <c r="C37" s="24" t="s">
        <v>48</v>
      </c>
      <c r="D37" s="34"/>
      <c r="E37" s="4"/>
      <c r="F37" s="8">
        <f>-C28/G37</f>
        <v>5.148638452750733</v>
      </c>
      <c r="G37" s="4">
        <f>AVERAGE(D29:T29)</f>
        <v>265409974.41176471</v>
      </c>
      <c r="H37" s="4"/>
      <c r="I37" s="4"/>
      <c r="J37" s="4"/>
      <c r="K37" s="4">
        <f>SUM(D31:K31)</f>
        <v>1363149320.5709777</v>
      </c>
      <c r="L37" s="4">
        <f>C31*(-1)-K37</f>
        <v>3350679.4290223122</v>
      </c>
      <c r="M37" s="4"/>
      <c r="N37" s="4"/>
      <c r="O37" s="4"/>
      <c r="P37" s="4"/>
      <c r="Q37" s="4"/>
      <c r="R37" s="4"/>
      <c r="S37" s="4"/>
      <c r="T37" s="4"/>
    </row>
    <row r="38" spans="1:20" x14ac:dyDescent="0.2">
      <c r="C38" s="4"/>
      <c r="D38" s="4"/>
      <c r="E38" s="4"/>
      <c r="F38" s="8">
        <f>-C28/G38</f>
        <v>9.1652182080589988</v>
      </c>
      <c r="G38" s="4">
        <f>AVERAGE(D31:T31)</f>
        <v>149096286.52359125</v>
      </c>
      <c r="H38" s="4"/>
      <c r="I38" s="4"/>
      <c r="J38" s="8"/>
      <c r="K38" s="8"/>
      <c r="L38" s="8">
        <f>L37/L31</f>
        <v>2.2941244975924823E-2</v>
      </c>
      <c r="M38" s="4"/>
      <c r="N38" s="4"/>
      <c r="O38" s="4"/>
      <c r="P38" s="8"/>
      <c r="Q38" s="4"/>
      <c r="R38" s="4"/>
      <c r="S38" s="4"/>
      <c r="T38" s="4"/>
    </row>
    <row r="39" spans="1:20" x14ac:dyDescent="0.2">
      <c r="A39" s="2">
        <v>35</v>
      </c>
      <c r="B39" s="7" t="s">
        <v>38</v>
      </c>
      <c r="D39" s="4">
        <v>35000</v>
      </c>
      <c r="E39" s="4">
        <v>75000</v>
      </c>
      <c r="F39" s="4">
        <v>90000</v>
      </c>
      <c r="G39" s="4">
        <v>90000</v>
      </c>
      <c r="H39" s="4">
        <v>90000</v>
      </c>
      <c r="I39" s="4">
        <v>90000</v>
      </c>
      <c r="J39" s="4">
        <v>90000</v>
      </c>
      <c r="K39" s="4">
        <v>90000</v>
      </c>
      <c r="L39" s="4">
        <v>90000</v>
      </c>
      <c r="M39" s="4">
        <v>90000</v>
      </c>
      <c r="N39" s="4">
        <v>90000</v>
      </c>
      <c r="O39" s="4">
        <v>90000</v>
      </c>
      <c r="P39" s="4">
        <v>90000</v>
      </c>
      <c r="Q39" s="4">
        <v>90000</v>
      </c>
      <c r="R39" s="4">
        <v>90000</v>
      </c>
      <c r="S39" s="4">
        <v>90000</v>
      </c>
      <c r="T39" s="4">
        <v>90000</v>
      </c>
    </row>
    <row r="40" spans="1:20" ht="25.5" x14ac:dyDescent="0.2">
      <c r="A40" s="2">
        <v>36</v>
      </c>
      <c r="B40" s="7" t="s">
        <v>40</v>
      </c>
      <c r="D40" s="4">
        <f>(D7-D5)/D39</f>
        <v>3110.2797714285716</v>
      </c>
      <c r="E40" s="4">
        <f t="shared" ref="E40:T40" si="4">(E7-E25-E5)/E39</f>
        <v>1303.3258000000001</v>
      </c>
      <c r="F40" s="4">
        <f t="shared" si="4"/>
        <v>1452.2223777777779</v>
      </c>
      <c r="G40" s="4">
        <f t="shared" si="4"/>
        <v>1746.7545666666667</v>
      </c>
      <c r="H40" s="4">
        <f t="shared" si="4"/>
        <v>2040.9098888888889</v>
      </c>
      <c r="I40" s="4">
        <f t="shared" si="4"/>
        <v>2335.4998666666665</v>
      </c>
      <c r="J40" s="4">
        <f t="shared" si="4"/>
        <v>2631.3451777777777</v>
      </c>
      <c r="K40" s="4">
        <f t="shared" si="4"/>
        <v>2929.7232333333332</v>
      </c>
      <c r="L40" s="4">
        <f t="shared" si="4"/>
        <v>3230.1488666666669</v>
      </c>
      <c r="M40" s="4">
        <f t="shared" si="4"/>
        <v>3534.8215444444445</v>
      </c>
      <c r="N40" s="4">
        <f t="shared" si="4"/>
        <v>3845.1844000000001</v>
      </c>
      <c r="O40" s="4">
        <f t="shared" si="4"/>
        <v>4159.1480222222226</v>
      </c>
      <c r="P40" s="4">
        <f t="shared" si="4"/>
        <v>4227.6418555555556</v>
      </c>
      <c r="Q40" s="4">
        <f t="shared" si="4"/>
        <v>3796.6221777777778</v>
      </c>
      <c r="R40" s="4">
        <f t="shared" si="4"/>
        <v>4129.939388888889</v>
      </c>
      <c r="S40" s="4">
        <f t="shared" si="4"/>
        <v>4472.7803777777781</v>
      </c>
      <c r="T40" s="4">
        <f t="shared" si="4"/>
        <v>5308.2622444444441</v>
      </c>
    </row>
    <row r="41" spans="1:20" x14ac:dyDescent="0.2">
      <c r="A41" s="2">
        <v>37</v>
      </c>
      <c r="B41" s="7" t="s">
        <v>42</v>
      </c>
      <c r="D41" s="4">
        <v>3600</v>
      </c>
      <c r="E41" s="4">
        <f t="shared" ref="E41:K41" si="5">D41*1.05</f>
        <v>3780</v>
      </c>
      <c r="F41" s="4">
        <f t="shared" si="5"/>
        <v>3969</v>
      </c>
      <c r="G41" s="4">
        <f t="shared" si="5"/>
        <v>4167.45</v>
      </c>
      <c r="H41" s="4">
        <f t="shared" si="5"/>
        <v>4375.8225000000002</v>
      </c>
      <c r="I41" s="4">
        <f t="shared" si="5"/>
        <v>4594.6136250000009</v>
      </c>
      <c r="J41" s="4">
        <f t="shared" si="5"/>
        <v>4824.344306250001</v>
      </c>
      <c r="K41" s="4">
        <f t="shared" si="5"/>
        <v>5065.5615215625012</v>
      </c>
      <c r="L41" s="4">
        <f t="shared" ref="L41:T41" si="6">K41*1.05</f>
        <v>5318.8395976406264</v>
      </c>
      <c r="M41" s="4">
        <f t="shared" si="6"/>
        <v>5584.7815775226582</v>
      </c>
      <c r="N41" s="4">
        <f t="shared" si="6"/>
        <v>5864.0206563987913</v>
      </c>
      <c r="O41" s="4">
        <f t="shared" si="6"/>
        <v>6157.2216892187307</v>
      </c>
      <c r="P41" s="4">
        <f t="shared" si="6"/>
        <v>6465.0827736796673</v>
      </c>
      <c r="Q41" s="4">
        <f t="shared" si="6"/>
        <v>6788.3369123636512</v>
      </c>
      <c r="R41" s="4">
        <f t="shared" si="6"/>
        <v>7127.7537579818345</v>
      </c>
      <c r="S41" s="4">
        <f t="shared" si="6"/>
        <v>7484.1414458809268</v>
      </c>
      <c r="T41" s="4">
        <f t="shared" si="6"/>
        <v>7858.3485181749738</v>
      </c>
    </row>
    <row r="42" spans="1:20" ht="25.5" x14ac:dyDescent="0.2">
      <c r="A42" s="2">
        <v>38</v>
      </c>
      <c r="B42" s="7" t="s">
        <v>41</v>
      </c>
      <c r="D42" s="4">
        <v>9000000</v>
      </c>
      <c r="E42" s="4">
        <v>9000000</v>
      </c>
      <c r="F42" s="4">
        <v>9000000</v>
      </c>
      <c r="G42" s="4">
        <v>9000000</v>
      </c>
      <c r="H42" s="4">
        <v>9000000</v>
      </c>
      <c r="I42" s="4">
        <v>9000000</v>
      </c>
      <c r="J42" s="4">
        <v>9000000</v>
      </c>
      <c r="K42" s="4">
        <v>9000000</v>
      </c>
      <c r="L42" s="4">
        <v>9000000</v>
      </c>
      <c r="M42" s="4">
        <v>9000000</v>
      </c>
      <c r="N42" s="4">
        <v>9000000</v>
      </c>
      <c r="O42" s="4">
        <v>9000000</v>
      </c>
      <c r="P42" s="4">
        <v>9000000</v>
      </c>
      <c r="Q42" s="4">
        <v>9000000</v>
      </c>
      <c r="R42" s="4">
        <v>9000000</v>
      </c>
      <c r="S42" s="4">
        <v>9000000</v>
      </c>
      <c r="T42" s="4">
        <v>9000000</v>
      </c>
    </row>
    <row r="43" spans="1:20" ht="25.5" x14ac:dyDescent="0.2">
      <c r="A43" s="2">
        <v>39</v>
      </c>
      <c r="B43" s="7" t="s">
        <v>39</v>
      </c>
      <c r="D43" s="4">
        <f t="shared" ref="D43:T43" si="7">(D7-D5)/D42</f>
        <v>12.095532444444444</v>
      </c>
      <c r="E43" s="4">
        <f t="shared" si="7"/>
        <v>18.585459444444446</v>
      </c>
      <c r="F43" s="4">
        <f t="shared" si="7"/>
        <v>19.960545666666668</v>
      </c>
      <c r="G43" s="4">
        <f t="shared" si="7"/>
        <v>20.591736444444443</v>
      </c>
      <c r="H43" s="4">
        <f t="shared" si="7"/>
        <v>21.12470711111111</v>
      </c>
      <c r="I43" s="4">
        <f t="shared" si="7"/>
        <v>23.354998666666667</v>
      </c>
      <c r="J43" s="4">
        <f t="shared" si="7"/>
        <v>26.313451777777779</v>
      </c>
      <c r="K43" s="4">
        <f t="shared" si="7"/>
        <v>29.297232333333334</v>
      </c>
      <c r="L43" s="4">
        <f t="shared" si="7"/>
        <v>32.301488666666664</v>
      </c>
      <c r="M43" s="4">
        <f t="shared" si="7"/>
        <v>35.348215444444442</v>
      </c>
      <c r="N43" s="4">
        <f t="shared" si="7"/>
        <v>38.451844000000001</v>
      </c>
      <c r="O43" s="4">
        <f t="shared" si="7"/>
        <v>41.591480222222224</v>
      </c>
      <c r="P43" s="4">
        <f t="shared" si="7"/>
        <v>42.276418555555558</v>
      </c>
      <c r="Q43" s="4">
        <f t="shared" si="7"/>
        <v>37.966221777777776</v>
      </c>
      <c r="R43" s="4">
        <f t="shared" si="7"/>
        <v>41.299393888888886</v>
      </c>
      <c r="S43" s="4">
        <f t="shared" si="7"/>
        <v>44.72780377777778</v>
      </c>
      <c r="T43" s="4">
        <f t="shared" si="7"/>
        <v>53.082622444444446</v>
      </c>
    </row>
    <row r="44" spans="1:20" x14ac:dyDescent="0.2">
      <c r="A44" s="2">
        <v>40</v>
      </c>
      <c r="B44" s="7" t="s">
        <v>43</v>
      </c>
      <c r="D44" s="4">
        <v>35</v>
      </c>
      <c r="E44" s="4">
        <f t="shared" ref="E44:K44" si="8">D44*1.05</f>
        <v>36.75</v>
      </c>
      <c r="F44" s="4">
        <f t="shared" si="8"/>
        <v>38.587499999999999</v>
      </c>
      <c r="G44" s="4">
        <f t="shared" si="8"/>
        <v>40.516874999999999</v>
      </c>
      <c r="H44" s="4">
        <f t="shared" si="8"/>
        <v>42.542718749999999</v>
      </c>
      <c r="I44" s="4">
        <f t="shared" si="8"/>
        <v>44.669854687499999</v>
      </c>
      <c r="J44" s="4">
        <f t="shared" si="8"/>
        <v>46.903347421875004</v>
      </c>
      <c r="K44" s="4">
        <f t="shared" si="8"/>
        <v>49.248514792968756</v>
      </c>
      <c r="L44" s="4">
        <f t="shared" ref="L44:T44" si="9">K44*1.05</f>
        <v>51.710940532617194</v>
      </c>
      <c r="M44" s="4">
        <f t="shared" si="9"/>
        <v>54.296487559248057</v>
      </c>
      <c r="N44" s="4">
        <f t="shared" si="9"/>
        <v>57.011311937210465</v>
      </c>
      <c r="O44" s="4">
        <f t="shared" si="9"/>
        <v>59.861877534070992</v>
      </c>
      <c r="P44" s="4">
        <f t="shared" si="9"/>
        <v>62.854971410774546</v>
      </c>
      <c r="Q44" s="4">
        <f t="shared" si="9"/>
        <v>65.997719981313281</v>
      </c>
      <c r="R44" s="4">
        <f t="shared" si="9"/>
        <v>69.297605980378947</v>
      </c>
      <c r="S44" s="4">
        <f t="shared" si="9"/>
        <v>72.762486279397891</v>
      </c>
      <c r="T44" s="4">
        <f t="shared" si="9"/>
        <v>76.400610593367787</v>
      </c>
    </row>
  </sheetData>
  <phoneticPr fontId="1" type="noConversion"/>
  <pageMargins left="0.78740157480314965" right="0.78740157480314965" top="0.78740157480314965" bottom="0.78740157480314965" header="0.31496062992125984" footer="0.31496062992125984"/>
  <pageSetup paperSize="9" scale="5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2ver-megtak-vált.diszkontráta</vt:lpstr>
      <vt:lpstr>'2ver-megtak-vált.diszkontráta'!Nyomtatási_terület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Ivelics Ramón</dc:creator>
  <cp:lastModifiedBy>Dr. Ivelics Ramon</cp:lastModifiedBy>
  <cp:lastPrinted>2010-01-18T20:58:57Z</cp:lastPrinted>
  <dcterms:created xsi:type="dcterms:W3CDTF">2009-12-27T16:33:55Z</dcterms:created>
  <dcterms:modified xsi:type="dcterms:W3CDTF">2022-04-11T15:05:59Z</dcterms:modified>
</cp:coreProperties>
</file>